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452"/>
  </bookViews>
  <sheets>
    <sheet name="методология" sheetId="12" r:id="rId1"/>
    <sheet name="оглавление" sheetId="11" r:id="rId2"/>
    <sheet name="условия" sheetId="1" r:id="rId3"/>
    <sheet name="NPV" sheetId="10" r:id="rId4"/>
    <sheet name="PL_m" sheetId="5" r:id="rId5"/>
    <sheet name="PL_f" sheetId="7" r:id="rId6"/>
    <sheet name="CF" sheetId="8" r:id="rId7"/>
    <sheet name="BS" sheetId="9" r:id="rId8"/>
    <sheet name="KPI" sheetId="3" r:id="rId9"/>
    <sheet name="структура" sheetId="2" r:id="rId10"/>
    <sheet name="monthly" sheetId="4" r:id="rId11"/>
  </sheets>
  <calcPr calcId="162913"/>
</workbook>
</file>

<file path=xl/calcChain.xml><?xml version="1.0" encoding="utf-8"?>
<calcChain xmlns="http://schemas.openxmlformats.org/spreadsheetml/2006/main">
  <c r="V182" i="1" l="1"/>
  <c r="W182" i="1" s="1"/>
  <c r="X182" i="1" s="1"/>
  <c r="Y182" i="1" s="1"/>
  <c r="Z182" i="1" s="1"/>
  <c r="AA182" i="1" s="1"/>
  <c r="AB182" i="1" s="1"/>
  <c r="AC182" i="1" s="1"/>
  <c r="U182" i="1"/>
  <c r="D4" i="12" l="1"/>
  <c r="D7" i="4" l="1"/>
  <c r="C7" i="2"/>
  <c r="C7" i="3"/>
  <c r="D7" i="9"/>
  <c r="D7" i="8"/>
  <c r="D7" i="5"/>
  <c r="D7" i="7"/>
  <c r="J44" i="11"/>
  <c r="J43" i="11"/>
  <c r="J42" i="11"/>
  <c r="J41" i="11"/>
  <c r="J40" i="11"/>
  <c r="J39" i="11"/>
  <c r="J35" i="11"/>
  <c r="J34" i="11"/>
  <c r="J33" i="11"/>
  <c r="J32" i="11"/>
  <c r="J31" i="11"/>
  <c r="D7" i="10"/>
  <c r="J27" i="11"/>
  <c r="J26" i="11"/>
  <c r="J25" i="11"/>
  <c r="J24" i="11"/>
  <c r="J23" i="11"/>
  <c r="J22" i="11"/>
  <c r="J21" i="11"/>
  <c r="J20" i="11"/>
  <c r="J19" i="11"/>
  <c r="J18" i="11"/>
  <c r="J17" i="11"/>
  <c r="D8" i="1"/>
  <c r="D8" i="4"/>
  <c r="C2" i="2"/>
  <c r="C8" i="3"/>
  <c r="D2" i="8"/>
  <c r="D8" i="7"/>
  <c r="D8" i="5"/>
  <c r="D8" i="10"/>
  <c r="D2" i="1"/>
  <c r="D7" i="11"/>
  <c r="D8" i="9"/>
  <c r="D6" i="4"/>
  <c r="D5" i="4"/>
  <c r="D4" i="4"/>
  <c r="D3" i="4"/>
  <c r="C6" i="2"/>
  <c r="C5" i="2"/>
  <c r="C4" i="2"/>
  <c r="C3" i="2"/>
  <c r="C6" i="3"/>
  <c r="C5" i="3"/>
  <c r="C4" i="3"/>
  <c r="C3" i="3"/>
  <c r="D6" i="9"/>
  <c r="D5" i="9"/>
  <c r="D4" i="9"/>
  <c r="D3" i="9"/>
  <c r="D6" i="8"/>
  <c r="D5" i="8"/>
  <c r="D4" i="8"/>
  <c r="D3" i="8"/>
  <c r="D6" i="7"/>
  <c r="D5" i="7"/>
  <c r="D4" i="7"/>
  <c r="D3" i="7"/>
  <c r="D6" i="5"/>
  <c r="D5" i="5"/>
  <c r="D4" i="5"/>
  <c r="D3" i="5"/>
  <c r="D6" i="10"/>
  <c r="D5" i="10"/>
  <c r="D4" i="10"/>
  <c r="D3" i="10"/>
  <c r="C7" i="1"/>
  <c r="D6" i="1" l="1"/>
  <c r="D5" i="1"/>
  <c r="D4" i="1"/>
  <c r="D3" i="1"/>
  <c r="F62" i="10"/>
  <c r="F161" i="10"/>
  <c r="K161" i="10"/>
  <c r="K163" i="10" s="1"/>
  <c r="F58" i="10"/>
  <c r="F56" i="10"/>
  <c r="F61" i="10"/>
  <c r="G274" i="3"/>
  <c r="G273" i="3"/>
  <c r="G272" i="3"/>
  <c r="G271" i="3"/>
  <c r="K61" i="10"/>
  <c r="F53" i="10"/>
  <c r="F51" i="10"/>
  <c r="F33" i="10"/>
  <c r="G270" i="3"/>
  <c r="G269" i="3"/>
  <c r="G268" i="3"/>
  <c r="F56" i="7"/>
  <c r="F79" i="5"/>
  <c r="G267" i="3"/>
  <c r="G266" i="3"/>
  <c r="F46" i="7"/>
  <c r="F49" i="10"/>
  <c r="F47" i="10"/>
  <c r="F31" i="10"/>
  <c r="F45" i="10"/>
  <c r="F43" i="10" l="1"/>
  <c r="G265" i="3"/>
  <c r="G264" i="3"/>
  <c r="G263" i="3"/>
  <c r="F41" i="10"/>
  <c r="F39" i="10" l="1"/>
  <c r="F37" i="10"/>
  <c r="F35" i="10"/>
  <c r="F24" i="10"/>
  <c r="F29" i="10"/>
  <c r="G262" i="3"/>
  <c r="G261" i="3"/>
  <c r="G260" i="3"/>
  <c r="G259" i="3"/>
  <c r="G275" i="3"/>
  <c r="G258" i="3"/>
  <c r="G257" i="3"/>
  <c r="G256" i="3"/>
  <c r="F26" i="10"/>
  <c r="F20" i="10"/>
  <c r="G255" i="3"/>
  <c r="G254" i="3"/>
  <c r="P14" i="10"/>
  <c r="F14" i="10"/>
  <c r="F12" i="10"/>
  <c r="F16" i="10"/>
  <c r="G253" i="3"/>
  <c r="G252" i="3"/>
  <c r="G251" i="3"/>
  <c r="F22" i="10"/>
  <c r="F18" i="10"/>
  <c r="J9" i="10"/>
  <c r="F9" i="10"/>
  <c r="Q1" i="10"/>
  <c r="R1" i="10" s="1"/>
  <c r="S1" i="10" s="1"/>
  <c r="T1" i="10" s="1"/>
  <c r="U1" i="10" s="1"/>
  <c r="V1" i="10" s="1"/>
  <c r="W1" i="10" s="1"/>
  <c r="X1" i="10" s="1"/>
  <c r="Y1" i="10" s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72" i="9"/>
  <c r="F34" i="9"/>
  <c r="F50" i="8"/>
  <c r="F28" i="8"/>
  <c r="T223" i="4"/>
  <c r="F223" i="4"/>
  <c r="T221" i="4"/>
  <c r="F221" i="4"/>
  <c r="G250" i="3"/>
  <c r="G249" i="3"/>
  <c r="F219" i="4"/>
  <c r="G248" i="3"/>
  <c r="G247" i="3"/>
  <c r="F217" i="4"/>
  <c r="F215" i="4"/>
  <c r="P48" i="8"/>
  <c r="F48" i="8"/>
  <c r="F70" i="9"/>
  <c r="P46" i="8"/>
  <c r="F46" i="8"/>
  <c r="F68" i="9"/>
  <c r="F37" i="7"/>
  <c r="F60" i="5"/>
  <c r="F186" i="1"/>
  <c r="P186" i="1" s="1"/>
  <c r="F184" i="1"/>
  <c r="S184" i="1" s="1"/>
  <c r="F182" i="1"/>
  <c r="S182" i="1" s="1"/>
  <c r="G242" i="3"/>
  <c r="G241" i="3"/>
  <c r="G240" i="3"/>
  <c r="G239" i="3"/>
  <c r="G244" i="3"/>
  <c r="G243" i="3"/>
  <c r="G245" i="3"/>
  <c r="G246" i="3"/>
  <c r="F11" i="9"/>
  <c r="F66" i="9"/>
  <c r="F64" i="9"/>
  <c r="F62" i="9"/>
  <c r="F60" i="9"/>
  <c r="F58" i="9"/>
  <c r="F56" i="9"/>
  <c r="F54" i="9"/>
  <c r="F52" i="9"/>
  <c r="F50" i="9"/>
  <c r="F48" i="9"/>
  <c r="F46" i="9"/>
  <c r="F43" i="9"/>
  <c r="F41" i="9"/>
  <c r="F39" i="9"/>
  <c r="F37" i="9"/>
  <c r="F32" i="9"/>
  <c r="F30" i="9"/>
  <c r="F28" i="9"/>
  <c r="F213" i="4"/>
  <c r="F211" i="4"/>
  <c r="F47" i="4"/>
  <c r="F29" i="4"/>
  <c r="F27" i="4"/>
  <c r="S200" i="1" l="1"/>
  <c r="Q14" i="10"/>
  <c r="S208" i="1"/>
  <c r="S192" i="1"/>
  <c r="S194" i="1"/>
  <c r="S202" i="1"/>
  <c r="S210" i="1"/>
  <c r="S206" i="1"/>
  <c r="S198" i="1"/>
  <c r="S190" i="1"/>
  <c r="S204" i="1"/>
  <c r="S196" i="1"/>
  <c r="S188" i="1"/>
  <c r="F26" i="9"/>
  <c r="F24" i="9"/>
  <c r="F21" i="9"/>
  <c r="F19" i="9"/>
  <c r="F17" i="9"/>
  <c r="F15" i="9"/>
  <c r="F13" i="9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J9" i="9"/>
  <c r="F9" i="9"/>
  <c r="Q1" i="9"/>
  <c r="R1" i="9" s="1"/>
  <c r="S1" i="9" s="1"/>
  <c r="T1" i="9" s="1"/>
  <c r="U1" i="9" s="1"/>
  <c r="V1" i="9" s="1"/>
  <c r="W1" i="9" s="1"/>
  <c r="X1" i="9" s="1"/>
  <c r="Y1" i="9" s="1"/>
  <c r="R14" i="10" l="1"/>
  <c r="M12" i="8"/>
  <c r="F21" i="8"/>
  <c r="F12" i="8"/>
  <c r="F18" i="8"/>
  <c r="F16" i="8"/>
  <c r="F14" i="8"/>
  <c r="G217" i="3"/>
  <c r="G216" i="3"/>
  <c r="G215" i="3"/>
  <c r="G214" i="3"/>
  <c r="G213" i="3"/>
  <c r="G212" i="3"/>
  <c r="G211" i="3"/>
  <c r="G210" i="3"/>
  <c r="G209" i="3"/>
  <c r="F70" i="8"/>
  <c r="F67" i="8"/>
  <c r="F69" i="8"/>
  <c r="F66" i="8"/>
  <c r="F64" i="8"/>
  <c r="F61" i="8"/>
  <c r="F59" i="8"/>
  <c r="F56" i="8"/>
  <c r="F58" i="8"/>
  <c r="F55" i="8"/>
  <c r="F53" i="8"/>
  <c r="F44" i="8"/>
  <c r="F42" i="8"/>
  <c r="F40" i="8"/>
  <c r="F38" i="8"/>
  <c r="F36" i="8"/>
  <c r="F34" i="8"/>
  <c r="F32" i="8"/>
  <c r="F26" i="8"/>
  <c r="F31" i="8"/>
  <c r="F25" i="8"/>
  <c r="F23" i="8"/>
  <c r="J9" i="8"/>
  <c r="F9" i="8"/>
  <c r="Q1" i="8"/>
  <c r="R1" i="8" s="1"/>
  <c r="S1" i="8" s="1"/>
  <c r="T1" i="8" s="1"/>
  <c r="U1" i="8" s="1"/>
  <c r="V1" i="8" s="1"/>
  <c r="W1" i="8" s="1"/>
  <c r="X1" i="8" s="1"/>
  <c r="Y1" i="8" s="1"/>
  <c r="F18" i="7"/>
  <c r="F69" i="5"/>
  <c r="F35" i="7"/>
  <c r="F31" i="7"/>
  <c r="F24" i="7"/>
  <c r="F22" i="7"/>
  <c r="F21" i="7"/>
  <c r="F20" i="7"/>
  <c r="F209" i="4"/>
  <c r="F207" i="4"/>
  <c r="F205" i="4"/>
  <c r="F19" i="7"/>
  <c r="F52" i="7"/>
  <c r="F50" i="7"/>
  <c r="F48" i="7"/>
  <c r="F54" i="7"/>
  <c r="F44" i="7"/>
  <c r="F42" i="7"/>
  <c r="F40" i="7"/>
  <c r="F33" i="7"/>
  <c r="F29" i="7"/>
  <c r="F27" i="7"/>
  <c r="F26" i="7"/>
  <c r="F25" i="7"/>
  <c r="F16" i="7"/>
  <c r="F14" i="7"/>
  <c r="F12" i="7"/>
  <c r="J9" i="7"/>
  <c r="F9" i="7"/>
  <c r="Q1" i="7"/>
  <c r="R1" i="7" s="1"/>
  <c r="S1" i="7" s="1"/>
  <c r="T1" i="7" s="1"/>
  <c r="U1" i="7" s="1"/>
  <c r="V1" i="7" s="1"/>
  <c r="W1" i="7" s="1"/>
  <c r="X1" i="7" s="1"/>
  <c r="Y1" i="7" s="1"/>
  <c r="F203" i="4"/>
  <c r="F201" i="4"/>
  <c r="F199" i="4"/>
  <c r="F197" i="4"/>
  <c r="F195" i="4"/>
  <c r="F193" i="4"/>
  <c r="F191" i="4"/>
  <c r="F189" i="4"/>
  <c r="F187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F185" i="4"/>
  <c r="S14" i="10" l="1"/>
  <c r="F183" i="4"/>
  <c r="F159" i="4"/>
  <c r="F157" i="4"/>
  <c r="F151" i="4"/>
  <c r="F181" i="4"/>
  <c r="F179" i="4"/>
  <c r="F177" i="4"/>
  <c r="F175" i="4"/>
  <c r="F173" i="4"/>
  <c r="F171" i="4"/>
  <c r="F169" i="4"/>
  <c r="F167" i="4"/>
  <c r="F165" i="4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F163" i="4"/>
  <c r="F161" i="4"/>
  <c r="F155" i="4"/>
  <c r="F153" i="4"/>
  <c r="F149" i="4"/>
  <c r="G174" i="3"/>
  <c r="G173" i="3"/>
  <c r="G172" i="3"/>
  <c r="G171" i="3"/>
  <c r="G170" i="3"/>
  <c r="G169" i="3"/>
  <c r="G168" i="3"/>
  <c r="G167" i="3"/>
  <c r="G166" i="3"/>
  <c r="G165" i="3"/>
  <c r="G164" i="3"/>
  <c r="G163" i="3"/>
  <c r="F147" i="4"/>
  <c r="F145" i="4"/>
  <c r="F75" i="5"/>
  <c r="F73" i="5"/>
  <c r="F180" i="1"/>
  <c r="S180" i="1" s="1"/>
  <c r="F71" i="5"/>
  <c r="G162" i="3"/>
  <c r="G161" i="3"/>
  <c r="G160" i="3"/>
  <c r="G159" i="3"/>
  <c r="G158" i="3"/>
  <c r="G157" i="3"/>
  <c r="G156" i="3"/>
  <c r="G155" i="3"/>
  <c r="G154" i="3"/>
  <c r="F77" i="5"/>
  <c r="T14" i="10" l="1"/>
  <c r="F143" i="4"/>
  <c r="U14" i="10" l="1"/>
  <c r="F141" i="4"/>
  <c r="F139" i="4"/>
  <c r="F137" i="4"/>
  <c r="F135" i="4"/>
  <c r="F133" i="4"/>
  <c r="V14" i="10" l="1"/>
  <c r="F131" i="4"/>
  <c r="F129" i="4"/>
  <c r="F127" i="4"/>
  <c r="F125" i="4"/>
  <c r="G153" i="3"/>
  <c r="G152" i="3"/>
  <c r="G151" i="3"/>
  <c r="G150" i="3"/>
  <c r="G149" i="3"/>
  <c r="G148" i="3"/>
  <c r="G147" i="3"/>
  <c r="G146" i="3"/>
  <c r="G145" i="3"/>
  <c r="G144" i="3"/>
  <c r="G143" i="3"/>
  <c r="G142" i="3"/>
  <c r="F42" i="5"/>
  <c r="F67" i="5"/>
  <c r="F65" i="5"/>
  <c r="F63" i="5"/>
  <c r="F40" i="5"/>
  <c r="F56" i="5"/>
  <c r="F48" i="5"/>
  <c r="F43" i="5"/>
  <c r="G141" i="3"/>
  <c r="G140" i="3"/>
  <c r="G139" i="3"/>
  <c r="G138" i="3"/>
  <c r="G137" i="3"/>
  <c r="F37" i="5"/>
  <c r="F31" i="5"/>
  <c r="F24" i="5"/>
  <c r="F19" i="5"/>
  <c r="F58" i="5"/>
  <c r="F35" i="5"/>
  <c r="F54" i="5"/>
  <c r="F53" i="5"/>
  <c r="F52" i="5"/>
  <c r="F34" i="5"/>
  <c r="F51" i="5"/>
  <c r="F33" i="5"/>
  <c r="F50" i="5"/>
  <c r="F32" i="5"/>
  <c r="F49" i="5"/>
  <c r="F29" i="5"/>
  <c r="F27" i="5"/>
  <c r="F22" i="5"/>
  <c r="F46" i="5"/>
  <c r="F21" i="5"/>
  <c r="F45" i="5"/>
  <c r="F20" i="5"/>
  <c r="F44" i="5"/>
  <c r="F26" i="5"/>
  <c r="F25" i="5"/>
  <c r="F18" i="5"/>
  <c r="F16" i="5"/>
  <c r="F14" i="5"/>
  <c r="F12" i="5"/>
  <c r="J9" i="5"/>
  <c r="F9" i="5"/>
  <c r="Q1" i="5"/>
  <c r="R1" i="5" s="1"/>
  <c r="S1" i="5" s="1"/>
  <c r="T1" i="5" s="1"/>
  <c r="U1" i="5" s="1"/>
  <c r="V1" i="5" s="1"/>
  <c r="W1" i="5" s="1"/>
  <c r="X1" i="5" s="1"/>
  <c r="Y1" i="5" s="1"/>
  <c r="F123" i="4"/>
  <c r="F121" i="4"/>
  <c r="F119" i="4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F117" i="4"/>
  <c r="F178" i="1"/>
  <c r="P178" i="1" s="1"/>
  <c r="F172" i="1"/>
  <c r="F170" i="1"/>
  <c r="T178" i="1"/>
  <c r="U178" i="1" s="1"/>
  <c r="V178" i="1" s="1"/>
  <c r="W178" i="1" s="1"/>
  <c r="X178" i="1" s="1"/>
  <c r="Y178" i="1" s="1"/>
  <c r="Z178" i="1" s="1"/>
  <c r="AA178" i="1" s="1"/>
  <c r="AB178" i="1" s="1"/>
  <c r="AC178" i="1" s="1"/>
  <c r="F115" i="4"/>
  <c r="F113" i="4"/>
  <c r="W14" i="10" l="1"/>
  <c r="F176" i="1"/>
  <c r="P176" i="1" s="1"/>
  <c r="F111" i="4"/>
  <c r="F174" i="1"/>
  <c r="P174" i="1" s="1"/>
  <c r="F109" i="4"/>
  <c r="T172" i="1"/>
  <c r="U172" i="1" s="1"/>
  <c r="V172" i="1" s="1"/>
  <c r="W172" i="1" s="1"/>
  <c r="X172" i="1" s="1"/>
  <c r="Y172" i="1" s="1"/>
  <c r="Z172" i="1" s="1"/>
  <c r="AA172" i="1" s="1"/>
  <c r="AB172" i="1" s="1"/>
  <c r="AC172" i="1" s="1"/>
  <c r="S170" i="1"/>
  <c r="F107" i="4"/>
  <c r="F168" i="1"/>
  <c r="P168" i="1" s="1"/>
  <c r="F166" i="1"/>
  <c r="P166" i="1" s="1"/>
  <c r="T168" i="1"/>
  <c r="U168" i="1" s="1"/>
  <c r="V168" i="1" s="1"/>
  <c r="W168" i="1" s="1"/>
  <c r="X168" i="1" s="1"/>
  <c r="Y168" i="1" s="1"/>
  <c r="Z168" i="1" s="1"/>
  <c r="AA168" i="1" s="1"/>
  <c r="AB168" i="1" s="1"/>
  <c r="AC168" i="1" s="1"/>
  <c r="G121" i="3"/>
  <c r="G120" i="3"/>
  <c r="G119" i="3"/>
  <c r="G118" i="3"/>
  <c r="G117" i="3"/>
  <c r="G116" i="3"/>
  <c r="G115" i="3"/>
  <c r="T164" i="1"/>
  <c r="U164" i="1" s="1"/>
  <c r="V164" i="1" s="1"/>
  <c r="W164" i="1" s="1"/>
  <c r="X164" i="1" s="1"/>
  <c r="Y164" i="1" s="1"/>
  <c r="Z164" i="1" s="1"/>
  <c r="AA164" i="1" s="1"/>
  <c r="AB164" i="1" s="1"/>
  <c r="AC164" i="1" s="1"/>
  <c r="F105" i="4"/>
  <c r="F164" i="1"/>
  <c r="P164" i="1" s="1"/>
  <c r="F162" i="1"/>
  <c r="S162" i="1" s="1"/>
  <c r="F103" i="4"/>
  <c r="F101" i="4"/>
  <c r="F160" i="1"/>
  <c r="P160" i="1" s="1"/>
  <c r="F158" i="1"/>
  <c r="P158" i="1" s="1"/>
  <c r="F156" i="1"/>
  <c r="P156" i="1" s="1"/>
  <c r="F154" i="1"/>
  <c r="P154" i="1" s="1"/>
  <c r="T160" i="1"/>
  <c r="U160" i="1" s="1"/>
  <c r="V160" i="1" s="1"/>
  <c r="W160" i="1" s="1"/>
  <c r="X160" i="1" s="1"/>
  <c r="Y160" i="1" s="1"/>
  <c r="Z160" i="1" s="1"/>
  <c r="AA160" i="1" s="1"/>
  <c r="AB160" i="1" s="1"/>
  <c r="AC160" i="1" s="1"/>
  <c r="T156" i="1"/>
  <c r="U156" i="1" s="1"/>
  <c r="V156" i="1" s="1"/>
  <c r="W156" i="1" s="1"/>
  <c r="X156" i="1" s="1"/>
  <c r="Y156" i="1" s="1"/>
  <c r="Z156" i="1" s="1"/>
  <c r="AA156" i="1" s="1"/>
  <c r="AB156" i="1" s="1"/>
  <c r="AC156" i="1" s="1"/>
  <c r="F99" i="4"/>
  <c r="F152" i="1"/>
  <c r="T152" i="1"/>
  <c r="U152" i="1" s="1"/>
  <c r="V152" i="1" s="1"/>
  <c r="W152" i="1" s="1"/>
  <c r="X152" i="1" s="1"/>
  <c r="Y152" i="1" s="1"/>
  <c r="Z152" i="1" s="1"/>
  <c r="AA152" i="1" s="1"/>
  <c r="AB152" i="1" s="1"/>
  <c r="AC152" i="1" s="1"/>
  <c r="F150" i="1"/>
  <c r="P150" i="1" s="1"/>
  <c r="F97" i="4"/>
  <c r="F148" i="1"/>
  <c r="F146" i="1"/>
  <c r="P146" i="1" s="1"/>
  <c r="T148" i="1"/>
  <c r="U148" i="1" s="1"/>
  <c r="F95" i="4"/>
  <c r="T144" i="1"/>
  <c r="U144" i="1" s="1"/>
  <c r="V144" i="1" s="1"/>
  <c r="W144" i="1" s="1"/>
  <c r="X144" i="1" s="1"/>
  <c r="Y144" i="1" s="1"/>
  <c r="Z144" i="1" s="1"/>
  <c r="AA144" i="1" s="1"/>
  <c r="AB144" i="1" s="1"/>
  <c r="AC144" i="1" s="1"/>
  <c r="T138" i="1"/>
  <c r="U138" i="1" s="1"/>
  <c r="V138" i="1" s="1"/>
  <c r="W138" i="1" s="1"/>
  <c r="X138" i="1" s="1"/>
  <c r="Y138" i="1" s="1"/>
  <c r="Z138" i="1" s="1"/>
  <c r="AA138" i="1" s="1"/>
  <c r="AB138" i="1" s="1"/>
  <c r="AC138" i="1" s="1"/>
  <c r="F144" i="1"/>
  <c r="P144" i="1" s="1"/>
  <c r="F142" i="1"/>
  <c r="P142" i="1" s="1"/>
  <c r="F140" i="1"/>
  <c r="P140" i="1" s="1"/>
  <c r="F93" i="4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F138" i="1"/>
  <c r="P138" i="1" s="1"/>
  <c r="F136" i="1"/>
  <c r="P136" i="1" s="1"/>
  <c r="X14" i="10" l="1"/>
  <c r="P172" i="1"/>
  <c r="P152" i="1"/>
  <c r="V148" i="1"/>
  <c r="W148" i="1" s="1"/>
  <c r="X148" i="1" s="1"/>
  <c r="Y148" i="1" s="1"/>
  <c r="Z148" i="1" s="1"/>
  <c r="AA148" i="1" s="1"/>
  <c r="AB148" i="1" s="1"/>
  <c r="AC148" i="1" s="1"/>
  <c r="P148" i="1"/>
  <c r="T128" i="1"/>
  <c r="U128" i="1" s="1"/>
  <c r="V128" i="1" s="1"/>
  <c r="W128" i="1" s="1"/>
  <c r="X128" i="1" s="1"/>
  <c r="Y128" i="1" s="1"/>
  <c r="Z128" i="1" s="1"/>
  <c r="AA128" i="1" s="1"/>
  <c r="AB128" i="1" s="1"/>
  <c r="AC128" i="1" s="1"/>
  <c r="F134" i="1"/>
  <c r="S134" i="1" s="1"/>
  <c r="G100" i="3"/>
  <c r="G99" i="3"/>
  <c r="G98" i="3"/>
  <c r="G97" i="3"/>
  <c r="G96" i="3"/>
  <c r="G95" i="3"/>
  <c r="G94" i="3"/>
  <c r="F91" i="4"/>
  <c r="F132" i="1"/>
  <c r="S132" i="1" s="1"/>
  <c r="F89" i="4"/>
  <c r="T83" i="1"/>
  <c r="U83" i="1" s="1"/>
  <c r="F130" i="1"/>
  <c r="S130" i="1" s="1"/>
  <c r="F128" i="1"/>
  <c r="P128" i="1" s="1"/>
  <c r="F126" i="1"/>
  <c r="P126" i="1" s="1"/>
  <c r="F87" i="4"/>
  <c r="F85" i="4"/>
  <c r="F124" i="1"/>
  <c r="P124" i="1" s="1"/>
  <c r="F122" i="1"/>
  <c r="P122" i="1" s="1"/>
  <c r="F83" i="4"/>
  <c r="F81" i="4"/>
  <c r="F120" i="1"/>
  <c r="P120" i="1" s="1"/>
  <c r="F118" i="1"/>
  <c r="P118" i="1" s="1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F79" i="4"/>
  <c r="F116" i="1"/>
  <c r="P116" i="1" s="1"/>
  <c r="F77" i="4"/>
  <c r="F114" i="1"/>
  <c r="P114" i="1" s="1"/>
  <c r="F75" i="4"/>
  <c r="F73" i="4"/>
  <c r="F112" i="1"/>
  <c r="P112" i="1" s="1"/>
  <c r="F110" i="1"/>
  <c r="P110" i="1" s="1"/>
  <c r="S71" i="4"/>
  <c r="F71" i="4"/>
  <c r="S69" i="4"/>
  <c r="F69" i="4"/>
  <c r="F67" i="4"/>
  <c r="F65" i="4"/>
  <c r="J66" i="4"/>
  <c r="F63" i="4"/>
  <c r="T106" i="1"/>
  <c r="U106" i="1" s="1"/>
  <c r="V106" i="1" s="1"/>
  <c r="W106" i="1" s="1"/>
  <c r="X106" i="1" s="1"/>
  <c r="Y106" i="1" s="1"/>
  <c r="Z106" i="1" s="1"/>
  <c r="AA106" i="1" s="1"/>
  <c r="AB106" i="1" s="1"/>
  <c r="AC106" i="1" s="1"/>
  <c r="J64" i="4"/>
  <c r="J62" i="4"/>
  <c r="J58" i="4"/>
  <c r="F61" i="4"/>
  <c r="Y14" i="10" l="1"/>
  <c r="F59" i="4"/>
  <c r="F57" i="4"/>
  <c r="F55" i="4"/>
  <c r="G54" i="3"/>
  <c r="F53" i="4"/>
  <c r="F51" i="4"/>
  <c r="U1" i="4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Y1" i="4" s="1"/>
  <c r="AZ1" i="4" s="1"/>
  <c r="BA1" i="4" s="1"/>
  <c r="BB1" i="4" s="1"/>
  <c r="BC1" i="4" s="1"/>
  <c r="BD1" i="4" s="1"/>
  <c r="BE1" i="4" s="1"/>
  <c r="BF1" i="4" s="1"/>
  <c r="BG1" i="4" s="1"/>
  <c r="BH1" i="4" s="1"/>
  <c r="BI1" i="4" s="1"/>
  <c r="BJ1" i="4" s="1"/>
  <c r="BK1" i="4" s="1"/>
  <c r="BL1" i="4" s="1"/>
  <c r="BM1" i="4" s="1"/>
  <c r="BN1" i="4" s="1"/>
  <c r="BO1" i="4" s="1"/>
  <c r="BP1" i="4" s="1"/>
  <c r="BQ1" i="4" s="1"/>
  <c r="BR1" i="4" s="1"/>
  <c r="BS1" i="4" s="1"/>
  <c r="BT1" i="4" s="1"/>
  <c r="BU1" i="4" s="1"/>
  <c r="BV1" i="4" s="1"/>
  <c r="BW1" i="4" s="1"/>
  <c r="BX1" i="4" s="1"/>
  <c r="BY1" i="4" s="1"/>
  <c r="BZ1" i="4" s="1"/>
  <c r="CA1" i="4" s="1"/>
  <c r="CB1" i="4" s="1"/>
  <c r="CC1" i="4" s="1"/>
  <c r="CD1" i="4" s="1"/>
  <c r="CE1" i="4" s="1"/>
  <c r="CF1" i="4" s="1"/>
  <c r="CG1" i="4" s="1"/>
  <c r="CH1" i="4" s="1"/>
  <c r="CI1" i="4" s="1"/>
  <c r="CJ1" i="4" s="1"/>
  <c r="CK1" i="4" s="1"/>
  <c r="CL1" i="4" s="1"/>
  <c r="CM1" i="4" s="1"/>
  <c r="CN1" i="4" s="1"/>
  <c r="CO1" i="4" s="1"/>
  <c r="CP1" i="4" s="1"/>
  <c r="CQ1" i="4" s="1"/>
  <c r="CR1" i="4" s="1"/>
  <c r="CS1" i="4" s="1"/>
  <c r="CT1" i="4" s="1"/>
  <c r="CU1" i="4" s="1"/>
  <c r="CV1" i="4" s="1"/>
  <c r="CW1" i="4" s="1"/>
  <c r="CX1" i="4" s="1"/>
  <c r="CY1" i="4" s="1"/>
  <c r="CZ1" i="4" s="1"/>
  <c r="DA1" i="4" s="1"/>
  <c r="DB1" i="4" s="1"/>
  <c r="DC1" i="4" s="1"/>
  <c r="DD1" i="4" s="1"/>
  <c r="DE1" i="4" s="1"/>
  <c r="DF1" i="4" s="1"/>
  <c r="DG1" i="4" s="1"/>
  <c r="DH1" i="4" s="1"/>
  <c r="DI1" i="4" s="1"/>
  <c r="DJ1" i="4" s="1"/>
  <c r="DK1" i="4" s="1"/>
  <c r="DL1" i="4" s="1"/>
  <c r="DM1" i="4" s="1"/>
  <c r="DN1" i="4" s="1"/>
  <c r="DO1" i="4" s="1"/>
  <c r="DP1" i="4" s="1"/>
  <c r="DQ1" i="4" s="1"/>
  <c r="DR1" i="4" s="1"/>
  <c r="DS1" i="4" s="1"/>
  <c r="DT1" i="4" s="1"/>
  <c r="DU1" i="4" s="1"/>
  <c r="DV1" i="4" s="1"/>
  <c r="DW1" i="4" s="1"/>
  <c r="DX1" i="4" s="1"/>
  <c r="DY1" i="4" s="1"/>
  <c r="DZ1" i="4" s="1"/>
  <c r="EA1" i="4" s="1"/>
  <c r="EB1" i="4" s="1"/>
  <c r="EC1" i="4" s="1"/>
  <c r="ED1" i="4" s="1"/>
  <c r="EE1" i="4" s="1"/>
  <c r="EF1" i="4" s="1"/>
  <c r="EG1" i="4" s="1"/>
  <c r="EH1" i="4" s="1"/>
  <c r="EI1" i="4" s="1"/>
  <c r="F108" i="1"/>
  <c r="S108" i="1" s="1"/>
  <c r="F106" i="1"/>
  <c r="P106" i="1" s="1"/>
  <c r="F49" i="4"/>
  <c r="F45" i="4"/>
  <c r="F43" i="4"/>
  <c r="F104" i="1" l="1"/>
  <c r="S104" i="1" s="1"/>
  <c r="F39" i="4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F37" i="4"/>
  <c r="F102" i="1"/>
  <c r="P102" i="1" s="1"/>
  <c r="F100" i="1"/>
  <c r="P100" i="1" s="1"/>
  <c r="F41" i="4"/>
  <c r="Q35" i="4"/>
  <c r="S35" i="4" s="1"/>
  <c r="F35" i="4"/>
  <c r="F86" i="1"/>
  <c r="F85" i="1"/>
  <c r="S85" i="1" s="1"/>
  <c r="Q98" i="1"/>
  <c r="F83" i="1"/>
  <c r="T64" i="1"/>
  <c r="F33" i="4"/>
  <c r="F31" i="4"/>
  <c r="F81" i="1"/>
  <c r="F25" i="4"/>
  <c r="F23" i="4"/>
  <c r="F79" i="1"/>
  <c r="F21" i="4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Q77" i="1"/>
  <c r="F65" i="1"/>
  <c r="F67" i="1" s="1"/>
  <c r="M67" i="1" s="1"/>
  <c r="U64" i="1"/>
  <c r="V64" i="1"/>
  <c r="W64" i="1"/>
  <c r="X64" i="1"/>
  <c r="Y64" i="1"/>
  <c r="Z64" i="1"/>
  <c r="AA64" i="1"/>
  <c r="AB64" i="1"/>
  <c r="AC64" i="1"/>
  <c r="F64" i="1"/>
  <c r="F62" i="1"/>
  <c r="F60" i="1"/>
  <c r="F58" i="1"/>
  <c r="F56" i="1"/>
  <c r="P56" i="1" s="1"/>
  <c r="F54" i="1"/>
  <c r="P54" i="1" s="1"/>
  <c r="F52" i="1"/>
  <c r="P52" i="1" s="1"/>
  <c r="F19" i="4"/>
  <c r="T17" i="4"/>
  <c r="U16" i="4"/>
  <c r="U17" i="4" s="1"/>
  <c r="F17" i="4"/>
  <c r="F50" i="1"/>
  <c r="F15" i="4"/>
  <c r="G17" i="3"/>
  <c r="V83" i="1" l="1"/>
  <c r="W83" i="1" s="1"/>
  <c r="X83" i="1" s="1"/>
  <c r="Y83" i="1" s="1"/>
  <c r="Z83" i="1" s="1"/>
  <c r="AA83" i="1" s="1"/>
  <c r="AB83" i="1" s="1"/>
  <c r="AC83" i="1" s="1"/>
  <c r="F98" i="1"/>
  <c r="M98" i="1" s="1"/>
  <c r="F96" i="1"/>
  <c r="P96" i="1" s="1"/>
  <c r="F93" i="1"/>
  <c r="L93" i="1" s="1"/>
  <c r="F92" i="1"/>
  <c r="M92" i="1" s="1"/>
  <c r="F94" i="1"/>
  <c r="P94" i="1" s="1"/>
  <c r="F91" i="1"/>
  <c r="M91" i="1" s="1"/>
  <c r="P83" i="1"/>
  <c r="F97" i="1"/>
  <c r="P97" i="1" s="1"/>
  <c r="F95" i="1"/>
  <c r="M95" i="1" s="1"/>
  <c r="F90" i="1"/>
  <c r="P90" i="1" s="1"/>
  <c r="F89" i="1"/>
  <c r="L89" i="1" s="1"/>
  <c r="F88" i="1"/>
  <c r="F87" i="1"/>
  <c r="M87" i="1" s="1"/>
  <c r="M96" i="1"/>
  <c r="L96" i="1"/>
  <c r="L98" i="1"/>
  <c r="S81" i="1"/>
  <c r="S79" i="1"/>
  <c r="P67" i="1"/>
  <c r="F77" i="1"/>
  <c r="M77" i="1" s="1"/>
  <c r="F75" i="1"/>
  <c r="L75" i="1" s="1"/>
  <c r="F74" i="1"/>
  <c r="L74" i="1" s="1"/>
  <c r="F72" i="1"/>
  <c r="F71" i="1"/>
  <c r="F70" i="1"/>
  <c r="L70" i="1" s="1"/>
  <c r="F66" i="1"/>
  <c r="F76" i="1"/>
  <c r="L76" i="1" s="1"/>
  <c r="F73" i="1"/>
  <c r="F69" i="1"/>
  <c r="L69" i="1" s="1"/>
  <c r="F68" i="1"/>
  <c r="L67" i="1"/>
  <c r="S62" i="1"/>
  <c r="S60" i="1"/>
  <c r="S58" i="1"/>
  <c r="P50" i="1"/>
  <c r="V16" i="4"/>
  <c r="F13" i="4"/>
  <c r="U47" i="1"/>
  <c r="V47" i="1"/>
  <c r="W47" i="1"/>
  <c r="X47" i="1"/>
  <c r="Y47" i="1"/>
  <c r="Z47" i="1"/>
  <c r="AA47" i="1"/>
  <c r="AB47" i="1"/>
  <c r="AC47" i="1"/>
  <c r="T47" i="1"/>
  <c r="F48" i="1"/>
  <c r="S48" i="1" s="1"/>
  <c r="F11" i="4"/>
  <c r="U1" i="1"/>
  <c r="V1" i="1" s="1"/>
  <c r="W1" i="1" s="1"/>
  <c r="X1" i="1" s="1"/>
  <c r="Y1" i="1" s="1"/>
  <c r="Z1" i="1" s="1"/>
  <c r="AA1" i="1" s="1"/>
  <c r="AB1" i="1" s="1"/>
  <c r="AC1" i="1" s="1"/>
  <c r="T9" i="4"/>
  <c r="Q9" i="4"/>
  <c r="J9" i="4"/>
  <c r="F9" i="4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11" i="3"/>
  <c r="F34" i="1"/>
  <c r="M34" i="1" s="1"/>
  <c r="U20" i="1"/>
  <c r="V20" i="1"/>
  <c r="W20" i="1"/>
  <c r="X20" i="1"/>
  <c r="Y20" i="1"/>
  <c r="Z20" i="1"/>
  <c r="AA20" i="1"/>
  <c r="AB20" i="1"/>
  <c r="AC20" i="1"/>
  <c r="F20" i="1"/>
  <c r="F22" i="1" s="1"/>
  <c r="S22" i="1" s="1"/>
  <c r="F18" i="1"/>
  <c r="S18" i="1" s="1"/>
  <c r="F17" i="1"/>
  <c r="U16" i="1"/>
  <c r="V16" i="1"/>
  <c r="W16" i="1"/>
  <c r="X16" i="1"/>
  <c r="Y16" i="1"/>
  <c r="Z16" i="1"/>
  <c r="AA16" i="1"/>
  <c r="AB16" i="1"/>
  <c r="AC16" i="1"/>
  <c r="T16" i="1"/>
  <c r="F13" i="1"/>
  <c r="S13" i="1" s="1"/>
  <c r="F15" i="1"/>
  <c r="L15" i="1" s="1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F11" i="1"/>
  <c r="J11" i="1" s="1"/>
  <c r="G9" i="3" l="1"/>
  <c r="M94" i="1"/>
  <c r="L94" i="1"/>
  <c r="P92" i="1"/>
  <c r="E40" i="3"/>
  <c r="E41" i="3" s="1"/>
  <c r="E42" i="3" s="1"/>
  <c r="E43" i="3" s="1"/>
  <c r="E44" i="3" s="1"/>
  <c r="E45" i="3" s="1"/>
  <c r="J98" i="1"/>
  <c r="J11" i="4"/>
  <c r="M93" i="1"/>
  <c r="J17" i="1"/>
  <c r="J88" i="1"/>
  <c r="P91" i="1"/>
  <c r="M97" i="1"/>
  <c r="L92" i="1"/>
  <c r="L97" i="1"/>
  <c r="P93" i="1"/>
  <c r="L95" i="1"/>
  <c r="J95" i="1"/>
  <c r="M90" i="1"/>
  <c r="J79" i="1"/>
  <c r="J19" i="4"/>
  <c r="J92" i="1"/>
  <c r="J37" i="4"/>
  <c r="J89" i="1"/>
  <c r="J93" i="1"/>
  <c r="P95" i="1"/>
  <c r="L91" i="1"/>
  <c r="J102" i="1"/>
  <c r="J97" i="1"/>
  <c r="J85" i="1"/>
  <c r="J100" i="1"/>
  <c r="J90" i="1"/>
  <c r="J94" i="1"/>
  <c r="J81" i="1"/>
  <c r="J41" i="4"/>
  <c r="J13" i="4"/>
  <c r="J25" i="4"/>
  <c r="J83" i="1"/>
  <c r="J71" i="1"/>
  <c r="J96" i="1"/>
  <c r="J35" i="4"/>
  <c r="J72" i="1"/>
  <c r="L90" i="1"/>
  <c r="J23" i="4"/>
  <c r="J33" i="4"/>
  <c r="J87" i="1"/>
  <c r="J91" i="1"/>
  <c r="J21" i="4"/>
  <c r="J31" i="4"/>
  <c r="J74" i="1"/>
  <c r="P87" i="1"/>
  <c r="L88" i="1"/>
  <c r="P88" i="1"/>
  <c r="M88" i="1"/>
  <c r="P89" i="1"/>
  <c r="M89" i="1"/>
  <c r="L87" i="1"/>
  <c r="L71" i="1"/>
  <c r="M75" i="1"/>
  <c r="U9" i="4"/>
  <c r="M70" i="1"/>
  <c r="J52" i="1"/>
  <c r="J67" i="1"/>
  <c r="M69" i="1"/>
  <c r="P69" i="1"/>
  <c r="J17" i="4"/>
  <c r="M73" i="1"/>
  <c r="P73" i="1"/>
  <c r="J15" i="4"/>
  <c r="M76" i="1"/>
  <c r="P76" i="1"/>
  <c r="J62" i="1"/>
  <c r="L66" i="1"/>
  <c r="P66" i="1"/>
  <c r="J64" i="1"/>
  <c r="M68" i="1"/>
  <c r="P68" i="1"/>
  <c r="L77" i="1"/>
  <c r="J70" i="1"/>
  <c r="P70" i="1"/>
  <c r="J50" i="1"/>
  <c r="M71" i="1"/>
  <c r="P71" i="1"/>
  <c r="J60" i="1"/>
  <c r="J76" i="1"/>
  <c r="M72" i="1"/>
  <c r="P72" i="1"/>
  <c r="J58" i="1"/>
  <c r="L68" i="1"/>
  <c r="M66" i="1"/>
  <c r="M74" i="1"/>
  <c r="P74" i="1"/>
  <c r="J54" i="1"/>
  <c r="J77" i="1"/>
  <c r="L72" i="1"/>
  <c r="J75" i="1"/>
  <c r="P75" i="1"/>
  <c r="J56" i="1"/>
  <c r="L73" i="1"/>
  <c r="J69" i="1"/>
  <c r="J73" i="1"/>
  <c r="J68" i="1"/>
  <c r="J66" i="1"/>
  <c r="F35" i="1"/>
  <c r="J35" i="1" s="1"/>
  <c r="F45" i="1"/>
  <c r="L45" i="1" s="1"/>
  <c r="X45" i="1" s="1"/>
  <c r="F44" i="1"/>
  <c r="M44" i="1" s="1"/>
  <c r="F46" i="1"/>
  <c r="M46" i="1" s="1"/>
  <c r="F43" i="1"/>
  <c r="L43" i="1" s="1"/>
  <c r="U43" i="1" s="1"/>
  <c r="F38" i="1"/>
  <c r="F40" i="1"/>
  <c r="L40" i="1" s="1"/>
  <c r="Z40" i="1" s="1"/>
  <c r="J48" i="1"/>
  <c r="F41" i="1"/>
  <c r="L41" i="1" s="1"/>
  <c r="AA41" i="1" s="1"/>
  <c r="F39" i="1"/>
  <c r="J39" i="1" s="1"/>
  <c r="F37" i="1"/>
  <c r="J37" i="1" s="1"/>
  <c r="F36" i="1"/>
  <c r="W16" i="4"/>
  <c r="V17" i="4"/>
  <c r="F42" i="1"/>
  <c r="M42" i="1" s="1"/>
  <c r="T20" i="1"/>
  <c r="M22" i="1"/>
  <c r="J22" i="1"/>
  <c r="L22" i="1"/>
  <c r="F27" i="1"/>
  <c r="F32" i="1"/>
  <c r="F25" i="1"/>
  <c r="F21" i="1"/>
  <c r="F31" i="1"/>
  <c r="F29" i="1"/>
  <c r="F24" i="1"/>
  <c r="F23" i="1"/>
  <c r="F30" i="1"/>
  <c r="F28" i="1"/>
  <c r="F26" i="1"/>
  <c r="L11" i="1"/>
  <c r="J15" i="1"/>
  <c r="M17" i="1"/>
  <c r="M18" i="1"/>
  <c r="S17" i="1"/>
  <c r="J18" i="1"/>
  <c r="J13" i="1"/>
  <c r="T8" i="1"/>
  <c r="P8" i="10" s="1"/>
  <c r="P8" i="9" l="1"/>
  <c r="P8" i="8"/>
  <c r="P8" i="7"/>
  <c r="T9" i="1"/>
  <c r="P9" i="10" s="1"/>
  <c r="P8" i="5"/>
  <c r="E46" i="3"/>
  <c r="J39" i="4"/>
  <c r="Y45" i="1"/>
  <c r="AC40" i="1"/>
  <c r="W41" i="1"/>
  <c r="AB41" i="1"/>
  <c r="Y41" i="1"/>
  <c r="Z41" i="1"/>
  <c r="U41" i="1"/>
  <c r="T41" i="1"/>
  <c r="J45" i="1"/>
  <c r="Y40" i="1"/>
  <c r="X41" i="1"/>
  <c r="AA40" i="1"/>
  <c r="T45" i="1"/>
  <c r="X40" i="1"/>
  <c r="Z45" i="1"/>
  <c r="V40" i="1"/>
  <c r="T40" i="1"/>
  <c r="U40" i="1"/>
  <c r="AB45" i="1"/>
  <c r="J40" i="1"/>
  <c r="AC45" i="1"/>
  <c r="W40" i="1"/>
  <c r="AA45" i="1"/>
  <c r="W45" i="1"/>
  <c r="AC41" i="1"/>
  <c r="AC43" i="1"/>
  <c r="AB40" i="1"/>
  <c r="V41" i="1"/>
  <c r="J43" i="1"/>
  <c r="T43" i="1"/>
  <c r="Z43" i="1"/>
  <c r="Y43" i="1"/>
  <c r="X43" i="1"/>
  <c r="AA43" i="1"/>
  <c r="M43" i="1"/>
  <c r="W43" i="1"/>
  <c r="AB43" i="1"/>
  <c r="U45" i="1"/>
  <c r="V43" i="1"/>
  <c r="V45" i="1"/>
  <c r="M45" i="1"/>
  <c r="M35" i="1"/>
  <c r="L35" i="1"/>
  <c r="AB35" i="1" s="1"/>
  <c r="V9" i="4"/>
  <c r="L44" i="1"/>
  <c r="AB44" i="1" s="1"/>
  <c r="L46" i="1"/>
  <c r="AA46" i="1" s="1"/>
  <c r="J46" i="1"/>
  <c r="J44" i="1"/>
  <c r="L42" i="1"/>
  <c r="Z42" i="1" s="1"/>
  <c r="M40" i="1"/>
  <c r="J42" i="1"/>
  <c r="M37" i="1"/>
  <c r="L37" i="1"/>
  <c r="AC37" i="1" s="1"/>
  <c r="L38" i="1"/>
  <c r="J38" i="1"/>
  <c r="M38" i="1"/>
  <c r="J41" i="1"/>
  <c r="M41" i="1"/>
  <c r="X16" i="4"/>
  <c r="W17" i="4"/>
  <c r="L36" i="1"/>
  <c r="M36" i="1"/>
  <c r="J36" i="1"/>
  <c r="L39" i="1"/>
  <c r="M39" i="1"/>
  <c r="S24" i="1"/>
  <c r="L24" i="1"/>
  <c r="J24" i="1"/>
  <c r="M24" i="1"/>
  <c r="S25" i="1"/>
  <c r="J25" i="1"/>
  <c r="M25" i="1"/>
  <c r="L25" i="1"/>
  <c r="S21" i="1"/>
  <c r="J21" i="1"/>
  <c r="M21" i="1"/>
  <c r="L21" i="1"/>
  <c r="S32" i="1"/>
  <c r="M32" i="1"/>
  <c r="L32" i="1"/>
  <c r="J32" i="1"/>
  <c r="S27" i="1"/>
  <c r="M27" i="1"/>
  <c r="L27" i="1"/>
  <c r="J27" i="1"/>
  <c r="S30" i="1"/>
  <c r="M30" i="1"/>
  <c r="L30" i="1"/>
  <c r="J30" i="1"/>
  <c r="S31" i="1"/>
  <c r="M31" i="1"/>
  <c r="L31" i="1"/>
  <c r="J31" i="1"/>
  <c r="S23" i="1"/>
  <c r="J23" i="1"/>
  <c r="M23" i="1"/>
  <c r="L23" i="1"/>
  <c r="S29" i="1"/>
  <c r="M29" i="1"/>
  <c r="L29" i="1"/>
  <c r="J29" i="1"/>
  <c r="S26" i="1"/>
  <c r="J26" i="1"/>
  <c r="M26" i="1"/>
  <c r="L26" i="1"/>
  <c r="S28" i="1"/>
  <c r="M28" i="1"/>
  <c r="L28" i="1"/>
  <c r="J28" i="1"/>
  <c r="T7" i="1" l="1"/>
  <c r="P7" i="10" s="1"/>
  <c r="U8" i="1"/>
  <c r="Q8" i="10" s="1"/>
  <c r="P9" i="5"/>
  <c r="P9" i="9"/>
  <c r="P9" i="8"/>
  <c r="P9" i="7"/>
  <c r="Z35" i="1"/>
  <c r="X35" i="1"/>
  <c r="E47" i="3"/>
  <c r="J104" i="1"/>
  <c r="AA44" i="1"/>
  <c r="AB46" i="1"/>
  <c r="Z44" i="1"/>
  <c r="AA37" i="1"/>
  <c r="T42" i="1"/>
  <c r="Z46" i="1"/>
  <c r="U44" i="1"/>
  <c r="W46" i="1"/>
  <c r="V46" i="1"/>
  <c r="Z37" i="1"/>
  <c r="U46" i="1"/>
  <c r="Y46" i="1"/>
  <c r="X46" i="1"/>
  <c r="AC46" i="1"/>
  <c r="T46" i="1"/>
  <c r="AC35" i="1"/>
  <c r="T44" i="1"/>
  <c r="Y44" i="1"/>
  <c r="V42" i="1"/>
  <c r="U42" i="1"/>
  <c r="W44" i="1"/>
  <c r="W42" i="1"/>
  <c r="X42" i="1"/>
  <c r="AC42" i="1"/>
  <c r="AB42" i="1"/>
  <c r="Y42" i="1"/>
  <c r="Y37" i="1"/>
  <c r="AA42" i="1"/>
  <c r="AC44" i="1"/>
  <c r="Y35" i="1"/>
  <c r="X44" i="1"/>
  <c r="X37" i="1"/>
  <c r="W35" i="1"/>
  <c r="V44" i="1"/>
  <c r="V35" i="1"/>
  <c r="W37" i="1"/>
  <c r="AA35" i="1"/>
  <c r="U35" i="1"/>
  <c r="U37" i="1"/>
  <c r="T35" i="1"/>
  <c r="T37" i="1"/>
  <c r="AB37" i="1"/>
  <c r="V37" i="1"/>
  <c r="AA38" i="1"/>
  <c r="Z38" i="1"/>
  <c r="AC38" i="1"/>
  <c r="T38" i="1"/>
  <c r="Y38" i="1"/>
  <c r="W38" i="1"/>
  <c r="V38" i="1"/>
  <c r="AB38" i="1"/>
  <c r="U38" i="1"/>
  <c r="X38" i="1"/>
  <c r="AB39" i="1"/>
  <c r="Z39" i="1"/>
  <c r="W39" i="1"/>
  <c r="AC39" i="1"/>
  <c r="Y39" i="1"/>
  <c r="V39" i="1"/>
  <c r="T39" i="1"/>
  <c r="X39" i="1"/>
  <c r="U39" i="1"/>
  <c r="AA39" i="1"/>
  <c r="U36" i="1"/>
  <c r="X36" i="1"/>
  <c r="Z36" i="1"/>
  <c r="AC36" i="1"/>
  <c r="W36" i="1"/>
  <c r="T36" i="1"/>
  <c r="AB36" i="1"/>
  <c r="V36" i="1"/>
  <c r="Y36" i="1"/>
  <c r="AA36" i="1"/>
  <c r="W9" i="4"/>
  <c r="Y16" i="4"/>
  <c r="X17" i="4"/>
  <c r="Q8" i="9" l="1"/>
  <c r="Q8" i="5"/>
  <c r="P7" i="8"/>
  <c r="U9" i="1"/>
  <c r="Q9" i="10" s="1"/>
  <c r="P7" i="7"/>
  <c r="Q8" i="8"/>
  <c r="P7" i="9"/>
  <c r="P7" i="5"/>
  <c r="Q8" i="7"/>
  <c r="E48" i="3"/>
  <c r="J43" i="4"/>
  <c r="Y34" i="1"/>
  <c r="W34" i="1"/>
  <c r="AC34" i="1"/>
  <c r="U34" i="1"/>
  <c r="T34" i="1"/>
  <c r="AA34" i="1"/>
  <c r="V34" i="1"/>
  <c r="AB34" i="1"/>
  <c r="Z34" i="1"/>
  <c r="X34" i="1"/>
  <c r="X9" i="4"/>
  <c r="Z16" i="4"/>
  <c r="Y17" i="4"/>
  <c r="Q9" i="5" l="1"/>
  <c r="U7" i="1"/>
  <c r="Q7" i="10" s="1"/>
  <c r="Q9" i="8"/>
  <c r="Q9" i="7"/>
  <c r="Q9" i="9"/>
  <c r="V8" i="1"/>
  <c r="R8" i="10" s="1"/>
  <c r="V9" i="1"/>
  <c r="R9" i="10" s="1"/>
  <c r="R8" i="7"/>
  <c r="Q7" i="5"/>
  <c r="Q7" i="8"/>
  <c r="Q7" i="7"/>
  <c r="E49" i="3"/>
  <c r="J45" i="4"/>
  <c r="Q34" i="1"/>
  <c r="Y9" i="4"/>
  <c r="AA16" i="4"/>
  <c r="Z17" i="4"/>
  <c r="Q7" i="9" l="1"/>
  <c r="R8" i="8"/>
  <c r="R8" i="5"/>
  <c r="R8" i="9"/>
  <c r="R9" i="7"/>
  <c r="R9" i="5"/>
  <c r="W8" i="1"/>
  <c r="S8" i="9" s="1"/>
  <c r="R9" i="9"/>
  <c r="V7" i="1"/>
  <c r="R7" i="10" s="1"/>
  <c r="R9" i="8"/>
  <c r="E50" i="3"/>
  <c r="J49" i="4"/>
  <c r="Z9" i="4"/>
  <c r="AB16" i="4"/>
  <c r="AA17" i="4"/>
  <c r="W9" i="1" l="1"/>
  <c r="S9" i="10" s="1"/>
  <c r="S8" i="10"/>
  <c r="S8" i="5"/>
  <c r="R7" i="8"/>
  <c r="S8" i="8"/>
  <c r="R7" i="9"/>
  <c r="R7" i="5"/>
  <c r="R7" i="7"/>
  <c r="S8" i="7"/>
  <c r="E51" i="3"/>
  <c r="J106" i="1"/>
  <c r="AA9" i="4"/>
  <c r="AC16" i="4"/>
  <c r="AB17" i="4"/>
  <c r="S9" i="7" l="1"/>
  <c r="S9" i="8"/>
  <c r="W7" i="1"/>
  <c r="S7" i="10" s="1"/>
  <c r="S9" i="5"/>
  <c r="S9" i="9"/>
  <c r="X8" i="1"/>
  <c r="T8" i="5" s="1"/>
  <c r="T8" i="7"/>
  <c r="S7" i="8"/>
  <c r="S7" i="5"/>
  <c r="T8" i="8"/>
  <c r="T8" i="9"/>
  <c r="T8" i="10"/>
  <c r="E52" i="3"/>
  <c r="J108" i="1"/>
  <c r="AB9" i="4"/>
  <c r="AD16" i="4"/>
  <c r="AC17" i="4"/>
  <c r="S7" i="9" l="1"/>
  <c r="S7" i="7"/>
  <c r="X9" i="1"/>
  <c r="T9" i="10" s="1"/>
  <c r="E53" i="3"/>
  <c r="J51" i="4"/>
  <c r="AC9" i="4"/>
  <c r="AE16" i="4"/>
  <c r="AD17" i="4"/>
  <c r="T9" i="5" l="1"/>
  <c r="Y8" i="1"/>
  <c r="U8" i="7" s="1"/>
  <c r="T9" i="9"/>
  <c r="T9" i="7"/>
  <c r="T9" i="8"/>
  <c r="X7" i="1"/>
  <c r="T7" i="10" s="1"/>
  <c r="U8" i="8"/>
  <c r="U8" i="5"/>
  <c r="U8" i="9"/>
  <c r="U8" i="10"/>
  <c r="E54" i="3"/>
  <c r="J53" i="4"/>
  <c r="AD9" i="4"/>
  <c r="AF16" i="4"/>
  <c r="AE17" i="4"/>
  <c r="T7" i="7" l="1"/>
  <c r="Y9" i="1"/>
  <c r="Y7" i="1" s="1"/>
  <c r="T7" i="5"/>
  <c r="T7" i="9"/>
  <c r="T7" i="8"/>
  <c r="U9" i="5"/>
  <c r="U9" i="8"/>
  <c r="E55" i="3"/>
  <c r="E56" i="3" s="1"/>
  <c r="E57" i="3" s="1"/>
  <c r="E58" i="3" s="1"/>
  <c r="E59" i="3" s="1"/>
  <c r="J55" i="4"/>
  <c r="AE9" i="4"/>
  <c r="AG16" i="4"/>
  <c r="AF17" i="4"/>
  <c r="Z8" i="1" l="1"/>
  <c r="Z9" i="1" s="1"/>
  <c r="U9" i="10"/>
  <c r="U9" i="7"/>
  <c r="U9" i="9"/>
  <c r="U7" i="10"/>
  <c r="U7" i="8"/>
  <c r="U7" i="7"/>
  <c r="U7" i="9"/>
  <c r="U7" i="5"/>
  <c r="E60" i="3"/>
  <c r="J65" i="4"/>
  <c r="J57" i="4"/>
  <c r="AF9" i="4"/>
  <c r="AH16" i="4"/>
  <c r="AG17" i="4"/>
  <c r="V8" i="9" l="1"/>
  <c r="V8" i="7"/>
  <c r="V8" i="5"/>
  <c r="V8" i="10"/>
  <c r="V8" i="8"/>
  <c r="V9" i="10"/>
  <c r="V9" i="9"/>
  <c r="V9" i="7"/>
  <c r="V9" i="5"/>
  <c r="V9" i="8"/>
  <c r="AA8" i="1"/>
  <c r="Z7" i="1"/>
  <c r="E61" i="3"/>
  <c r="J67" i="4"/>
  <c r="J63" i="4"/>
  <c r="J59" i="4"/>
  <c r="AG9" i="4"/>
  <c r="AI16" i="4"/>
  <c r="AH17" i="4"/>
  <c r="V7" i="10" l="1"/>
  <c r="V7" i="7"/>
  <c r="V7" i="9"/>
  <c r="V7" i="8"/>
  <c r="V7" i="5"/>
  <c r="W8" i="9"/>
  <c r="W8" i="8"/>
  <c r="W8" i="7"/>
  <c r="W8" i="10"/>
  <c r="W8" i="5"/>
  <c r="AA9" i="1"/>
  <c r="E62" i="3"/>
  <c r="J69" i="4"/>
  <c r="J61" i="4"/>
  <c r="AH9" i="4"/>
  <c r="AJ16" i="4"/>
  <c r="AI17" i="4"/>
  <c r="W9" i="10" l="1"/>
  <c r="W9" i="9"/>
  <c r="W9" i="7"/>
  <c r="AB8" i="1"/>
  <c r="W9" i="8"/>
  <c r="AA7" i="1"/>
  <c r="W9" i="5"/>
  <c r="E63" i="3"/>
  <c r="J71" i="4"/>
  <c r="AI9" i="4"/>
  <c r="AK16" i="4"/>
  <c r="AJ17" i="4"/>
  <c r="W7" i="10" l="1"/>
  <c r="W7" i="9"/>
  <c r="W7" i="8"/>
  <c r="W7" i="7"/>
  <c r="W7" i="5"/>
  <c r="AB9" i="1"/>
  <c r="X8" i="8"/>
  <c r="X8" i="10"/>
  <c r="X8" i="5"/>
  <c r="X8" i="9"/>
  <c r="X8" i="7"/>
  <c r="E64" i="3"/>
  <c r="J110" i="1"/>
  <c r="AJ9" i="4"/>
  <c r="AL16" i="4"/>
  <c r="AK17" i="4"/>
  <c r="X9" i="10" l="1"/>
  <c r="X9" i="9"/>
  <c r="X9" i="7"/>
  <c r="X9" i="8"/>
  <c r="AC8" i="1"/>
  <c r="AB7" i="1"/>
  <c r="X9" i="5"/>
  <c r="AJ11" i="4"/>
  <c r="AJ119" i="4"/>
  <c r="AJ109" i="4"/>
  <c r="AJ105" i="4"/>
  <c r="E65" i="3"/>
  <c r="J112" i="1"/>
  <c r="AK9" i="4"/>
  <c r="AK11" i="4" s="1"/>
  <c r="AM16" i="4"/>
  <c r="AL17" i="4"/>
  <c r="X7" i="10" l="1"/>
  <c r="X7" i="8"/>
  <c r="X7" i="7"/>
  <c r="X7" i="9"/>
  <c r="X7" i="5"/>
  <c r="AC9" i="1"/>
  <c r="AH11" i="4"/>
  <c r="Y8" i="10"/>
  <c r="AA11" i="4"/>
  <c r="AB105" i="4"/>
  <c r="U109" i="4"/>
  <c r="X105" i="4"/>
  <c r="AE109" i="4"/>
  <c r="AH109" i="4"/>
  <c r="Y11" i="4"/>
  <c r="AF11" i="4"/>
  <c r="W105" i="4"/>
  <c r="U105" i="4"/>
  <c r="AB109" i="4"/>
  <c r="AD105" i="4"/>
  <c r="AH105" i="4"/>
  <c r="X119" i="4"/>
  <c r="V11" i="4"/>
  <c r="AA109" i="4"/>
  <c r="AE105" i="4"/>
  <c r="W119" i="4"/>
  <c r="AA119" i="4"/>
  <c r="AA105" i="4"/>
  <c r="V105" i="4"/>
  <c r="AH119" i="4"/>
  <c r="X11" i="4"/>
  <c r="Y8" i="9"/>
  <c r="T35" i="4"/>
  <c r="AF109" i="4"/>
  <c r="AD119" i="4"/>
  <c r="Y119" i="4"/>
  <c r="T11" i="4"/>
  <c r="U11" i="4"/>
  <c r="Y8" i="8"/>
  <c r="Y8" i="5"/>
  <c r="AF119" i="4"/>
  <c r="Z105" i="4"/>
  <c r="AD109" i="4"/>
  <c r="Z11" i="4"/>
  <c r="Y8" i="7"/>
  <c r="T119" i="4"/>
  <c r="AF105" i="4"/>
  <c r="AC109" i="4"/>
  <c r="AB119" i="4"/>
  <c r="T105" i="4"/>
  <c r="W11" i="4"/>
  <c r="T109" i="4"/>
  <c r="U119" i="4"/>
  <c r="AC105" i="4"/>
  <c r="X109" i="4"/>
  <c r="AE119" i="4"/>
  <c r="V109" i="4"/>
  <c r="W109" i="4"/>
  <c r="AC119" i="4"/>
  <c r="AI119" i="4"/>
  <c r="AI109" i="4"/>
  <c r="AG109" i="4"/>
  <c r="Y109" i="4"/>
  <c r="AC11" i="4"/>
  <c r="Z109" i="4"/>
  <c r="Z119" i="4"/>
  <c r="Y105" i="4"/>
  <c r="AI105" i="4"/>
  <c r="AG105" i="4"/>
  <c r="AD11" i="4"/>
  <c r="AG119" i="4"/>
  <c r="AE11" i="4"/>
  <c r="AI11" i="4"/>
  <c r="V119" i="4"/>
  <c r="AB11" i="4"/>
  <c r="AG11" i="4"/>
  <c r="J25" i="5"/>
  <c r="J25" i="7"/>
  <c r="AK119" i="4"/>
  <c r="AK109" i="4"/>
  <c r="AK105" i="4"/>
  <c r="E66" i="3"/>
  <c r="J73" i="4"/>
  <c r="AL9" i="4"/>
  <c r="AL11" i="4" s="1"/>
  <c r="AN16" i="4"/>
  <c r="AM17" i="4"/>
  <c r="Y9" i="10" l="1"/>
  <c r="Y9" i="5"/>
  <c r="Y9" i="9"/>
  <c r="Y9" i="8"/>
  <c r="Y9" i="7"/>
  <c r="AC7" i="1"/>
  <c r="T43" i="4"/>
  <c r="U35" i="4"/>
  <c r="AL119" i="4"/>
  <c r="AL109" i="4"/>
  <c r="AL105" i="4"/>
  <c r="E67" i="3"/>
  <c r="J75" i="4"/>
  <c r="AM9" i="4"/>
  <c r="AM11" i="4" s="1"/>
  <c r="AO16" i="4"/>
  <c r="AN17" i="4"/>
  <c r="U43" i="4" l="1"/>
  <c r="V35" i="4"/>
  <c r="Y7" i="10"/>
  <c r="Y7" i="7"/>
  <c r="Y7" i="5"/>
  <c r="Y7" i="9"/>
  <c r="Y7" i="8"/>
  <c r="AM119" i="4"/>
  <c r="AM109" i="4"/>
  <c r="AM105" i="4"/>
  <c r="E68" i="3"/>
  <c r="J114" i="1"/>
  <c r="AN9" i="4"/>
  <c r="AN11" i="4" s="1"/>
  <c r="AP16" i="4"/>
  <c r="AO17" i="4"/>
  <c r="V43" i="4" l="1"/>
  <c r="W35" i="4"/>
  <c r="J44" i="5"/>
  <c r="AN119" i="4"/>
  <c r="AN109" i="4"/>
  <c r="AN105" i="4"/>
  <c r="E69" i="3"/>
  <c r="J77" i="4"/>
  <c r="AO9" i="4"/>
  <c r="AO11" i="4" s="1"/>
  <c r="AQ16" i="4"/>
  <c r="AP17" i="4"/>
  <c r="W43" i="4" l="1"/>
  <c r="X35" i="4"/>
  <c r="AO119" i="4"/>
  <c r="AO109" i="4"/>
  <c r="AO105" i="4"/>
  <c r="E70" i="3"/>
  <c r="J116" i="1"/>
  <c r="AP9" i="4"/>
  <c r="AP11" i="4" s="1"/>
  <c r="AR16" i="4"/>
  <c r="AQ17" i="4"/>
  <c r="X43" i="4" l="1"/>
  <c r="Y35" i="4"/>
  <c r="E71" i="3"/>
  <c r="J20" i="5"/>
  <c r="AP119" i="4"/>
  <c r="AP109" i="4"/>
  <c r="AP105" i="4"/>
  <c r="E72" i="3"/>
  <c r="J118" i="1"/>
  <c r="J79" i="4"/>
  <c r="AQ9" i="4"/>
  <c r="AQ11" i="4" s="1"/>
  <c r="AS16" i="4"/>
  <c r="AR17" i="4"/>
  <c r="Z35" i="4" l="1"/>
  <c r="Y43" i="4"/>
  <c r="J45" i="5"/>
  <c r="AQ119" i="4"/>
  <c r="AQ109" i="4"/>
  <c r="AQ105" i="4"/>
  <c r="E73" i="3"/>
  <c r="J81" i="4"/>
  <c r="AR9" i="4"/>
  <c r="AR11" i="4" s="1"/>
  <c r="AT16" i="4"/>
  <c r="AS17" i="4"/>
  <c r="Z43" i="4" l="1"/>
  <c r="AA35" i="4"/>
  <c r="AR119" i="4"/>
  <c r="AR109" i="4"/>
  <c r="AR105" i="4"/>
  <c r="E74" i="3"/>
  <c r="J120" i="1"/>
  <c r="AS9" i="4"/>
  <c r="AS11" i="4" s="1"/>
  <c r="AU16" i="4"/>
  <c r="AT17" i="4"/>
  <c r="AA43" i="4" l="1"/>
  <c r="AB35" i="4"/>
  <c r="J21" i="5"/>
  <c r="AS119" i="4"/>
  <c r="AS109" i="4"/>
  <c r="AS105" i="4"/>
  <c r="E75" i="3"/>
  <c r="J83" i="4"/>
  <c r="AT9" i="4"/>
  <c r="AT11" i="4" s="1"/>
  <c r="AV16" i="4"/>
  <c r="AU17" i="4"/>
  <c r="AC35" i="4" l="1"/>
  <c r="AB43" i="4"/>
  <c r="AT119" i="4"/>
  <c r="AT109" i="4"/>
  <c r="AT105" i="4"/>
  <c r="E76" i="3"/>
  <c r="J122" i="1"/>
  <c r="AU9" i="4"/>
  <c r="AU11" i="4" s="1"/>
  <c r="AW16" i="4"/>
  <c r="AV17" i="4"/>
  <c r="AC43" i="4" l="1"/>
  <c r="AD35" i="4"/>
  <c r="J46" i="5"/>
  <c r="AU119" i="4"/>
  <c r="AU109" i="4"/>
  <c r="AU105" i="4"/>
  <c r="E77" i="3"/>
  <c r="J85" i="4"/>
  <c r="AV9" i="4"/>
  <c r="AV11" i="4" s="1"/>
  <c r="AX16" i="4"/>
  <c r="AW17" i="4"/>
  <c r="AD43" i="4" l="1"/>
  <c r="AE35" i="4"/>
  <c r="AV119" i="4"/>
  <c r="AV109" i="4"/>
  <c r="AV105" i="4"/>
  <c r="E78" i="3"/>
  <c r="J124" i="1"/>
  <c r="AW9" i="4"/>
  <c r="AW11" i="4" s="1"/>
  <c r="AY16" i="4"/>
  <c r="AX17" i="4"/>
  <c r="AF35" i="4" l="1"/>
  <c r="AE43" i="4"/>
  <c r="J22" i="5"/>
  <c r="AW119" i="4"/>
  <c r="AW109" i="4"/>
  <c r="AW105" i="4"/>
  <c r="E79" i="3"/>
  <c r="J87" i="4"/>
  <c r="AX9" i="4"/>
  <c r="AX11" i="4" s="1"/>
  <c r="AZ16" i="4"/>
  <c r="AY17" i="4"/>
  <c r="AF43" i="4" l="1"/>
  <c r="AG35" i="4"/>
  <c r="AX119" i="4"/>
  <c r="AX109" i="4"/>
  <c r="AX105" i="4"/>
  <c r="E80" i="3"/>
  <c r="J126" i="1"/>
  <c r="AY9" i="4"/>
  <c r="AY11" i="4" s="1"/>
  <c r="BA16" i="4"/>
  <c r="AZ17" i="4"/>
  <c r="AG43" i="4" l="1"/>
  <c r="AH35" i="4"/>
  <c r="AY119" i="4"/>
  <c r="AY109" i="4"/>
  <c r="AY105" i="4"/>
  <c r="E81" i="3"/>
  <c r="J128" i="1"/>
  <c r="AZ9" i="4"/>
  <c r="AZ11" i="4" s="1"/>
  <c r="BB16" i="4"/>
  <c r="BA17" i="4"/>
  <c r="AH43" i="4" l="1"/>
  <c r="AI35" i="4"/>
  <c r="AZ119" i="4"/>
  <c r="AZ109" i="4"/>
  <c r="AZ105" i="4"/>
  <c r="E82" i="3"/>
  <c r="J130" i="1"/>
  <c r="BA9" i="4"/>
  <c r="BA11" i="4" s="1"/>
  <c r="BC16" i="4"/>
  <c r="BB17" i="4"/>
  <c r="AI43" i="4" l="1"/>
  <c r="AJ35" i="4"/>
  <c r="J27" i="5"/>
  <c r="J27" i="7"/>
  <c r="BA119" i="4"/>
  <c r="BA109" i="4"/>
  <c r="BA105" i="4"/>
  <c r="E83" i="3"/>
  <c r="J89" i="4"/>
  <c r="BB9" i="4"/>
  <c r="BB11" i="4" s="1"/>
  <c r="BD16" i="4"/>
  <c r="BC17" i="4"/>
  <c r="AJ43" i="4" l="1"/>
  <c r="AK35" i="4"/>
  <c r="BB119" i="4"/>
  <c r="BB109" i="4"/>
  <c r="BB105" i="4"/>
  <c r="E84" i="3"/>
  <c r="J132" i="1"/>
  <c r="BC9" i="4"/>
  <c r="BC11" i="4" s="1"/>
  <c r="BE16" i="4"/>
  <c r="BD17" i="4"/>
  <c r="AK43" i="4" l="1"/>
  <c r="AL35" i="4"/>
  <c r="J29" i="5"/>
  <c r="J29" i="7"/>
  <c r="BC119" i="4"/>
  <c r="BC109" i="4"/>
  <c r="BC105" i="4"/>
  <c r="E85" i="3"/>
  <c r="J91" i="4"/>
  <c r="BD9" i="4"/>
  <c r="BD11" i="4" s="1"/>
  <c r="BF16" i="4"/>
  <c r="BE17" i="4"/>
  <c r="AM35" i="4" l="1"/>
  <c r="AL43" i="4"/>
  <c r="BD119" i="4"/>
  <c r="BD109" i="4"/>
  <c r="BD105" i="4"/>
  <c r="E86" i="3"/>
  <c r="J134" i="1"/>
  <c r="BE9" i="4"/>
  <c r="BE11" i="4" s="1"/>
  <c r="BG16" i="4"/>
  <c r="BF17" i="4"/>
  <c r="AM43" i="4" l="1"/>
  <c r="AN35" i="4"/>
  <c r="BE119" i="4"/>
  <c r="BE109" i="4"/>
  <c r="BE105" i="4"/>
  <c r="E87" i="3"/>
  <c r="J136" i="1"/>
  <c r="BF9" i="4"/>
  <c r="BF11" i="4" s="1"/>
  <c r="BH16" i="4"/>
  <c r="BG17" i="4"/>
  <c r="AN43" i="4" l="1"/>
  <c r="AO35" i="4"/>
  <c r="BF119" i="4"/>
  <c r="BF109" i="4"/>
  <c r="BF105" i="4"/>
  <c r="E88" i="3"/>
  <c r="J138" i="1"/>
  <c r="BG9" i="4"/>
  <c r="BG11" i="4" s="1"/>
  <c r="BI16" i="4"/>
  <c r="BH17" i="4"/>
  <c r="AO43" i="4" l="1"/>
  <c r="AP35" i="4"/>
  <c r="J49" i="5"/>
  <c r="BG119" i="4"/>
  <c r="BG109" i="4"/>
  <c r="BG105" i="4"/>
  <c r="E89" i="3"/>
  <c r="J93" i="4"/>
  <c r="BH9" i="4"/>
  <c r="BH11" i="4" s="1"/>
  <c r="BJ16" i="4"/>
  <c r="BI17" i="4"/>
  <c r="AQ35" i="4" l="1"/>
  <c r="AP43" i="4"/>
  <c r="BH119" i="4"/>
  <c r="BH109" i="4"/>
  <c r="BH105" i="4"/>
  <c r="E90" i="3"/>
  <c r="J140" i="1"/>
  <c r="BI9" i="4"/>
  <c r="BI11" i="4" s="1"/>
  <c r="BK16" i="4"/>
  <c r="BJ17" i="4"/>
  <c r="AR35" i="4" l="1"/>
  <c r="AQ43" i="4"/>
  <c r="BI119" i="4"/>
  <c r="BI109" i="4"/>
  <c r="BI105" i="4"/>
  <c r="E91" i="3"/>
  <c r="J142" i="1"/>
  <c r="BJ9" i="4"/>
  <c r="BJ11" i="4" s="1"/>
  <c r="BL16" i="4"/>
  <c r="BK17" i="4"/>
  <c r="AS35" i="4" l="1"/>
  <c r="AR43" i="4"/>
  <c r="BJ119" i="4"/>
  <c r="BJ109" i="4"/>
  <c r="BJ105" i="4"/>
  <c r="E92" i="3"/>
  <c r="J144" i="1"/>
  <c r="BK9" i="4"/>
  <c r="BK11" i="4" s="1"/>
  <c r="BM16" i="4"/>
  <c r="BL17" i="4"/>
  <c r="AS43" i="4" l="1"/>
  <c r="AT35" i="4"/>
  <c r="E93" i="3"/>
  <c r="J32" i="5"/>
  <c r="BK119" i="4"/>
  <c r="BK109" i="4"/>
  <c r="BK105" i="4"/>
  <c r="E94" i="3"/>
  <c r="J146" i="1"/>
  <c r="J95" i="4"/>
  <c r="BL9" i="4"/>
  <c r="BL11" i="4" s="1"/>
  <c r="BN16" i="4"/>
  <c r="BM17" i="4"/>
  <c r="AT43" i="4" l="1"/>
  <c r="AU35" i="4"/>
  <c r="BL119" i="4"/>
  <c r="BL109" i="4"/>
  <c r="BL105" i="4"/>
  <c r="E95" i="3"/>
  <c r="J148" i="1"/>
  <c r="BM9" i="4"/>
  <c r="BM11" i="4" s="1"/>
  <c r="BO16" i="4"/>
  <c r="BN17" i="4"/>
  <c r="AV35" i="4" l="1"/>
  <c r="AU43" i="4"/>
  <c r="J50" i="5"/>
  <c r="BM119" i="4"/>
  <c r="BM109" i="4"/>
  <c r="BM105" i="4"/>
  <c r="E96" i="3"/>
  <c r="J97" i="4"/>
  <c r="BN9" i="4"/>
  <c r="BN11" i="4" s="1"/>
  <c r="BP16" i="4"/>
  <c r="BO17" i="4"/>
  <c r="AV43" i="4" l="1"/>
  <c r="AW35" i="4"/>
  <c r="BN119" i="4"/>
  <c r="BN109" i="4"/>
  <c r="BN105" i="4"/>
  <c r="E97" i="3"/>
  <c r="J150" i="1"/>
  <c r="BO9" i="4"/>
  <c r="BO11" i="4" s="1"/>
  <c r="BQ16" i="4"/>
  <c r="BP17" i="4"/>
  <c r="AX35" i="4" l="1"/>
  <c r="AW43" i="4"/>
  <c r="BO119" i="4"/>
  <c r="BO109" i="4"/>
  <c r="BO105" i="4"/>
  <c r="E98" i="3"/>
  <c r="J152" i="1"/>
  <c r="BP9" i="4"/>
  <c r="BP11" i="4" s="1"/>
  <c r="BR16" i="4"/>
  <c r="BQ17" i="4"/>
  <c r="AX43" i="4" l="1"/>
  <c r="AY35" i="4"/>
  <c r="J33" i="5"/>
  <c r="BP119" i="4"/>
  <c r="BP109" i="4"/>
  <c r="BP105" i="4"/>
  <c r="E99" i="3"/>
  <c r="J99" i="4"/>
  <c r="BQ9" i="4"/>
  <c r="BQ11" i="4" s="1"/>
  <c r="BS16" i="4"/>
  <c r="BR17" i="4"/>
  <c r="AY43" i="4" l="1"/>
  <c r="AZ35" i="4"/>
  <c r="BQ119" i="4"/>
  <c r="BQ109" i="4"/>
  <c r="BQ105" i="4"/>
  <c r="E100" i="3"/>
  <c r="J154" i="1"/>
  <c r="BR9" i="4"/>
  <c r="BR11" i="4" s="1"/>
  <c r="BT16" i="4"/>
  <c r="BS17" i="4"/>
  <c r="AZ43" i="4" l="1"/>
  <c r="BA35" i="4"/>
  <c r="BR119" i="4"/>
  <c r="BR109" i="4"/>
  <c r="BR105" i="4"/>
  <c r="E101" i="3"/>
  <c r="J156" i="1"/>
  <c r="BS9" i="4"/>
  <c r="BS11" i="4" s="1"/>
  <c r="BU16" i="4"/>
  <c r="BT17" i="4"/>
  <c r="BB35" i="4" l="1"/>
  <c r="BA43" i="4"/>
  <c r="J51" i="5"/>
  <c r="BS119" i="4"/>
  <c r="BS109" i="4"/>
  <c r="BS105" i="4"/>
  <c r="E102" i="3"/>
  <c r="J101" i="4"/>
  <c r="BT9" i="4"/>
  <c r="BT11" i="4" s="1"/>
  <c r="BV16" i="4"/>
  <c r="BU17" i="4"/>
  <c r="BC35" i="4" l="1"/>
  <c r="BB43" i="4"/>
  <c r="BT119" i="4"/>
  <c r="BT109" i="4"/>
  <c r="BT105" i="4"/>
  <c r="E103" i="3"/>
  <c r="J158" i="1"/>
  <c r="BU9" i="4"/>
  <c r="BU11" i="4" s="1"/>
  <c r="BW16" i="4"/>
  <c r="BV17" i="4"/>
  <c r="BC43" i="4" l="1"/>
  <c r="BD35" i="4"/>
  <c r="BU119" i="4"/>
  <c r="BU109" i="4"/>
  <c r="BU105" i="4"/>
  <c r="E104" i="3"/>
  <c r="J160" i="1"/>
  <c r="BV9" i="4"/>
  <c r="BV11" i="4" s="1"/>
  <c r="BX16" i="4"/>
  <c r="BW17" i="4"/>
  <c r="BE35" i="4" l="1"/>
  <c r="BD43" i="4"/>
  <c r="J34" i="5"/>
  <c r="BV119" i="4"/>
  <c r="BV109" i="4"/>
  <c r="BV105" i="4"/>
  <c r="E105" i="3"/>
  <c r="J103" i="4"/>
  <c r="BW9" i="4"/>
  <c r="BW11" i="4" s="1"/>
  <c r="BY16" i="4"/>
  <c r="BX17" i="4"/>
  <c r="BF35" i="4" l="1"/>
  <c r="BE43" i="4"/>
  <c r="BW119" i="4"/>
  <c r="BW109" i="4"/>
  <c r="BW105" i="4"/>
  <c r="E106" i="3"/>
  <c r="J162" i="1"/>
  <c r="BX9" i="4"/>
  <c r="BX11" i="4" s="1"/>
  <c r="BZ16" i="4"/>
  <c r="BY17" i="4"/>
  <c r="BG35" i="4" l="1"/>
  <c r="BF43" i="4"/>
  <c r="BX119" i="4"/>
  <c r="BX109" i="4"/>
  <c r="BX105" i="4"/>
  <c r="E107" i="3"/>
  <c r="J164" i="1"/>
  <c r="BY9" i="4"/>
  <c r="BY11" i="4" s="1"/>
  <c r="CA16" i="4"/>
  <c r="BZ17" i="4"/>
  <c r="BG43" i="4" l="1"/>
  <c r="BH35" i="4"/>
  <c r="E108" i="3"/>
  <c r="J52" i="5"/>
  <c r="BY119" i="4"/>
  <c r="E109" i="3"/>
  <c r="J166" i="1"/>
  <c r="BY109" i="4"/>
  <c r="BY105" i="4"/>
  <c r="J105" i="4"/>
  <c r="BZ9" i="4"/>
  <c r="BZ11" i="4" s="1"/>
  <c r="CB16" i="4"/>
  <c r="CA17" i="4"/>
  <c r="BH43" i="4" l="1"/>
  <c r="BI35" i="4"/>
  <c r="BZ119" i="4"/>
  <c r="E110" i="3"/>
  <c r="J168" i="1"/>
  <c r="BZ109" i="4"/>
  <c r="BZ105" i="4"/>
  <c r="CA9" i="4"/>
  <c r="CA11" i="4" s="1"/>
  <c r="CC57" i="4"/>
  <c r="CC16" i="4"/>
  <c r="CB17" i="4"/>
  <c r="BI43" i="4" l="1"/>
  <c r="BJ35" i="4"/>
  <c r="J53" i="5"/>
  <c r="CA119" i="4"/>
  <c r="E111" i="3"/>
  <c r="J107" i="4"/>
  <c r="CA109" i="4"/>
  <c r="CA105" i="4"/>
  <c r="CB9" i="4"/>
  <c r="CB11" i="4" s="1"/>
  <c r="CB57" i="4"/>
  <c r="CD16" i="4"/>
  <c r="CD57" i="4" s="1"/>
  <c r="CC17" i="4"/>
  <c r="BJ43" i="4" l="1"/>
  <c r="BK35" i="4"/>
  <c r="CB119" i="4"/>
  <c r="E112" i="3"/>
  <c r="J170" i="1"/>
  <c r="CB109" i="4"/>
  <c r="CB105" i="4"/>
  <c r="CC9" i="4"/>
  <c r="CC11" i="4" s="1"/>
  <c r="CA57" i="4"/>
  <c r="CE16" i="4"/>
  <c r="CE57" i="4" s="1"/>
  <c r="CD17" i="4"/>
  <c r="BL35" i="4" l="1"/>
  <c r="BK43" i="4"/>
  <c r="CC119" i="4"/>
  <c r="E113" i="3"/>
  <c r="J172" i="1"/>
  <c r="CC109" i="4"/>
  <c r="CC105" i="4"/>
  <c r="CD9" i="4"/>
  <c r="CD11" i="4" s="1"/>
  <c r="BZ57" i="4"/>
  <c r="CF16" i="4"/>
  <c r="CF57" i="4" s="1"/>
  <c r="CE17" i="4"/>
  <c r="BL43" i="4" l="1"/>
  <c r="BM35" i="4"/>
  <c r="J54" i="5"/>
  <c r="CD119" i="4"/>
  <c r="E114" i="3"/>
  <c r="J109" i="4"/>
  <c r="CD109" i="4"/>
  <c r="CD105" i="4"/>
  <c r="CE9" i="4"/>
  <c r="CE11" i="4" s="1"/>
  <c r="BY57" i="4"/>
  <c r="CG16" i="4"/>
  <c r="CG57" i="4" s="1"/>
  <c r="CF17" i="4"/>
  <c r="BM43" i="4" l="1"/>
  <c r="BN35" i="4"/>
  <c r="CE119" i="4"/>
  <c r="E115" i="3"/>
  <c r="J174" i="1"/>
  <c r="CE109" i="4"/>
  <c r="CE105" i="4"/>
  <c r="CF9" i="4"/>
  <c r="CF11" i="4" s="1"/>
  <c r="BX57" i="4"/>
  <c r="CH16" i="4"/>
  <c r="CH57" i="4" s="1"/>
  <c r="CG17" i="4"/>
  <c r="BO35" i="4" l="1"/>
  <c r="BO43" i="4" s="1"/>
  <c r="BN43" i="4"/>
  <c r="J35" i="5"/>
  <c r="CF119" i="4"/>
  <c r="E116" i="3"/>
  <c r="J111" i="4"/>
  <c r="CF109" i="4"/>
  <c r="CF105" i="4"/>
  <c r="CG9" i="4"/>
  <c r="CG11" i="4" s="1"/>
  <c r="BW57" i="4"/>
  <c r="CI16" i="4"/>
  <c r="CI57" i="4" s="1"/>
  <c r="CH17" i="4"/>
  <c r="CG119" i="4" l="1"/>
  <c r="E117" i="3"/>
  <c r="J176" i="1"/>
  <c r="CG109" i="4"/>
  <c r="CG105" i="4"/>
  <c r="CH9" i="4"/>
  <c r="CH11" i="4" s="1"/>
  <c r="BV57" i="4"/>
  <c r="CJ16" i="4"/>
  <c r="CJ57" i="4" s="1"/>
  <c r="CI17" i="4"/>
  <c r="CH119" i="4" l="1"/>
  <c r="E118" i="3"/>
  <c r="J113" i="4"/>
  <c r="CH109" i="4"/>
  <c r="CH105" i="4"/>
  <c r="CI9" i="4"/>
  <c r="CI11" i="4" s="1"/>
  <c r="BU57" i="4"/>
  <c r="CK16" i="4"/>
  <c r="CK57" i="4" s="1"/>
  <c r="CJ17" i="4"/>
  <c r="J33" i="7" l="1"/>
  <c r="J56" i="5"/>
  <c r="J37" i="5"/>
  <c r="CI119" i="4"/>
  <c r="E119" i="3"/>
  <c r="J115" i="4"/>
  <c r="CI109" i="4"/>
  <c r="CI105" i="4"/>
  <c r="CJ9" i="4"/>
  <c r="CJ11" i="4" s="1"/>
  <c r="BT57" i="4"/>
  <c r="CL16" i="4"/>
  <c r="CL57" i="4" s="1"/>
  <c r="CK17" i="4"/>
  <c r="CJ119" i="4" l="1"/>
  <c r="E120" i="3"/>
  <c r="J178" i="1"/>
  <c r="CJ109" i="4"/>
  <c r="CJ105" i="4"/>
  <c r="CK9" i="4"/>
  <c r="CK11" i="4" s="1"/>
  <c r="BS57" i="4"/>
  <c r="CM16" i="4"/>
  <c r="CM57" i="4" s="1"/>
  <c r="CL17" i="4"/>
  <c r="CK119" i="4" l="1"/>
  <c r="E121" i="3"/>
  <c r="J119" i="4" s="1"/>
  <c r="J117" i="4"/>
  <c r="CK109" i="4"/>
  <c r="CK105" i="4"/>
  <c r="CL9" i="4"/>
  <c r="CL11" i="4" s="1"/>
  <c r="BR57" i="4"/>
  <c r="CN16" i="4"/>
  <c r="CN57" i="4" s="1"/>
  <c r="CM17" i="4"/>
  <c r="CL119" i="4" l="1"/>
  <c r="E122" i="3"/>
  <c r="CL109" i="4"/>
  <c r="CL105" i="4"/>
  <c r="CM9" i="4"/>
  <c r="CM11" i="4" s="1"/>
  <c r="BQ57" i="4"/>
  <c r="CO16" i="4"/>
  <c r="CO57" i="4" s="1"/>
  <c r="CN17" i="4"/>
  <c r="E123" i="3" l="1"/>
  <c r="J35" i="7" s="1"/>
  <c r="J121" i="4"/>
  <c r="CM119" i="4"/>
  <c r="CM109" i="4"/>
  <c r="CM105" i="4"/>
  <c r="CN9" i="4"/>
  <c r="CN11" i="4" s="1"/>
  <c r="BP57" i="4"/>
  <c r="CP16" i="4"/>
  <c r="CP57" i="4" s="1"/>
  <c r="CO17" i="4"/>
  <c r="E124" i="3" l="1"/>
  <c r="J12" i="7" s="1"/>
  <c r="J123" i="4"/>
  <c r="J58" i="5"/>
  <c r="CN119" i="4"/>
  <c r="CN109" i="4"/>
  <c r="CN105" i="4"/>
  <c r="CO9" i="4"/>
  <c r="CO11" i="4" s="1"/>
  <c r="BO57" i="4"/>
  <c r="CQ16" i="4"/>
  <c r="CQ57" i="4" s="1"/>
  <c r="CP17" i="4"/>
  <c r="E125" i="3" l="1"/>
  <c r="J14" i="7" s="1"/>
  <c r="J12" i="5"/>
  <c r="CO119" i="4"/>
  <c r="CO109" i="4"/>
  <c r="CO105" i="4"/>
  <c r="CP9" i="4"/>
  <c r="CP11" i="4" s="1"/>
  <c r="BN57" i="4"/>
  <c r="CR16" i="4"/>
  <c r="CR57" i="4" s="1"/>
  <c r="CQ17" i="4"/>
  <c r="E126" i="3" l="1"/>
  <c r="J16" i="7" s="1"/>
  <c r="J14" i="5"/>
  <c r="CP119" i="4"/>
  <c r="CP109" i="4"/>
  <c r="CP105" i="4"/>
  <c r="CQ9" i="4"/>
  <c r="CQ11" i="4" s="1"/>
  <c r="BM57" i="4"/>
  <c r="CS16" i="4"/>
  <c r="CS57" i="4" s="1"/>
  <c r="CR17" i="4"/>
  <c r="E127" i="3" l="1"/>
  <c r="J16" i="5"/>
  <c r="CQ119" i="4"/>
  <c r="CQ109" i="4"/>
  <c r="CQ105" i="4"/>
  <c r="CR9" i="4"/>
  <c r="CR11" i="4" s="1"/>
  <c r="BL57" i="4"/>
  <c r="CT16" i="4"/>
  <c r="CT57" i="4" s="1"/>
  <c r="CS17" i="4"/>
  <c r="E128" i="3" l="1"/>
  <c r="J18" i="5"/>
  <c r="CR119" i="4"/>
  <c r="CR109" i="4"/>
  <c r="CR105" i="4"/>
  <c r="CS9" i="4"/>
  <c r="CS11" i="4" s="1"/>
  <c r="BK57" i="4"/>
  <c r="CU16" i="4"/>
  <c r="CU57" i="4" s="1"/>
  <c r="CT17" i="4"/>
  <c r="E129" i="3" l="1"/>
  <c r="J42" i="5"/>
  <c r="CS119" i="4"/>
  <c r="CS109" i="4"/>
  <c r="CS105" i="4"/>
  <c r="CT9" i="4"/>
  <c r="CT11" i="4" s="1"/>
  <c r="BJ57" i="4"/>
  <c r="CV16" i="4"/>
  <c r="CV57" i="4" s="1"/>
  <c r="CU17" i="4"/>
  <c r="E130" i="3" l="1"/>
  <c r="J19" i="5"/>
  <c r="CT119" i="4"/>
  <c r="CT109" i="4"/>
  <c r="CT105" i="4"/>
  <c r="CU9" i="4"/>
  <c r="CU11" i="4" s="1"/>
  <c r="BI57" i="4"/>
  <c r="CW16" i="4"/>
  <c r="CW57" i="4" s="1"/>
  <c r="CV17" i="4"/>
  <c r="E131" i="3" l="1"/>
  <c r="J31" i="7" s="1"/>
  <c r="J24" i="5"/>
  <c r="CU119" i="4"/>
  <c r="CU109" i="4"/>
  <c r="CU105" i="4"/>
  <c r="CV9" i="4"/>
  <c r="CV11" i="4" s="1"/>
  <c r="BH57" i="4"/>
  <c r="CX16" i="4"/>
  <c r="CX57" i="4" s="1"/>
  <c r="CW17" i="4"/>
  <c r="E132" i="3" l="1"/>
  <c r="J31" i="5"/>
  <c r="CV119" i="4"/>
  <c r="CV109" i="4"/>
  <c r="CV105" i="4"/>
  <c r="CW9" i="4"/>
  <c r="CW11" i="4" s="1"/>
  <c r="BG57" i="4"/>
  <c r="CY16" i="4"/>
  <c r="CY57" i="4" s="1"/>
  <c r="CX17" i="4"/>
  <c r="E133" i="3" l="1"/>
  <c r="J43" i="5"/>
  <c r="CW119" i="4"/>
  <c r="CW109" i="4"/>
  <c r="CW105" i="4"/>
  <c r="CX9" i="4"/>
  <c r="CX11" i="4" s="1"/>
  <c r="BF57" i="4"/>
  <c r="CZ16" i="4"/>
  <c r="CZ57" i="4" s="1"/>
  <c r="CY17" i="4"/>
  <c r="E134" i="3" l="1"/>
  <c r="J48" i="5"/>
  <c r="CX119" i="4"/>
  <c r="CX109" i="4"/>
  <c r="CX105" i="4"/>
  <c r="CY9" i="4"/>
  <c r="CY11" i="4" s="1"/>
  <c r="BE57" i="4"/>
  <c r="DA16" i="4"/>
  <c r="DA57" i="4" s="1"/>
  <c r="CZ17" i="4"/>
  <c r="E135" i="3" l="1"/>
  <c r="J40" i="7" s="1"/>
  <c r="J40" i="5"/>
  <c r="CY119" i="4"/>
  <c r="CY109" i="4"/>
  <c r="CY105" i="4"/>
  <c r="CZ9" i="4"/>
  <c r="CZ11" i="4" s="1"/>
  <c r="BD57" i="4"/>
  <c r="DB16" i="4"/>
  <c r="DB57" i="4" s="1"/>
  <c r="DA17" i="4"/>
  <c r="E136" i="3" l="1"/>
  <c r="J63" i="5"/>
  <c r="CZ119" i="4"/>
  <c r="CZ109" i="4"/>
  <c r="CZ105" i="4"/>
  <c r="DA9" i="4"/>
  <c r="DA11" i="4" s="1"/>
  <c r="BC57" i="4"/>
  <c r="DC16" i="4"/>
  <c r="DC57" i="4" s="1"/>
  <c r="DB17" i="4"/>
  <c r="E137" i="3" l="1"/>
  <c r="J42" i="7"/>
  <c r="J65" i="5"/>
  <c r="DA119" i="4"/>
  <c r="DA109" i="4"/>
  <c r="DA105" i="4"/>
  <c r="DB9" i="4"/>
  <c r="DB11" i="4" s="1"/>
  <c r="BB57" i="4"/>
  <c r="DD16" i="4"/>
  <c r="DD57" i="4" s="1"/>
  <c r="DC17" i="4"/>
  <c r="E138" i="3" l="1"/>
  <c r="J44" i="7"/>
  <c r="J67" i="5"/>
  <c r="DB119" i="4"/>
  <c r="DB109" i="4"/>
  <c r="DB105" i="4"/>
  <c r="DC9" i="4"/>
  <c r="DC11" i="4" s="1"/>
  <c r="BA57" i="4"/>
  <c r="DE16" i="4"/>
  <c r="DE57" i="4" s="1"/>
  <c r="DD17" i="4"/>
  <c r="E139" i="3" l="1"/>
  <c r="J125" i="4"/>
  <c r="DC119" i="4"/>
  <c r="DC109" i="4"/>
  <c r="DC105" i="4"/>
  <c r="DD9" i="4"/>
  <c r="DD11" i="4" s="1"/>
  <c r="AZ57" i="4"/>
  <c r="DF16" i="4"/>
  <c r="DF57" i="4" s="1"/>
  <c r="DE17" i="4"/>
  <c r="E140" i="3" l="1"/>
  <c r="J21" i="9" s="1"/>
  <c r="J127" i="4"/>
  <c r="DD119" i="4"/>
  <c r="DD109" i="4"/>
  <c r="DD105" i="4"/>
  <c r="DE9" i="4"/>
  <c r="DE11" i="4" s="1"/>
  <c r="AY57" i="4"/>
  <c r="DG16" i="4"/>
  <c r="DG57" i="4" s="1"/>
  <c r="DF17" i="4"/>
  <c r="E141" i="3" l="1"/>
  <c r="J129" i="4"/>
  <c r="DE119" i="4"/>
  <c r="DE109" i="4"/>
  <c r="DE105" i="4"/>
  <c r="DF9" i="4"/>
  <c r="DF11" i="4" s="1"/>
  <c r="AX57" i="4"/>
  <c r="DH16" i="4"/>
  <c r="DH57" i="4" s="1"/>
  <c r="DG17" i="4"/>
  <c r="E142" i="3" l="1"/>
  <c r="J188" i="1" s="1"/>
  <c r="J131" i="4"/>
  <c r="DF119" i="4"/>
  <c r="DF109" i="4"/>
  <c r="DF105" i="4"/>
  <c r="DG9" i="4"/>
  <c r="DG11" i="4" s="1"/>
  <c r="AW57" i="4"/>
  <c r="DI16" i="4"/>
  <c r="DI57" i="4" s="1"/>
  <c r="DH17" i="4"/>
  <c r="E143" i="3" l="1"/>
  <c r="J192" i="1" s="1"/>
  <c r="DG119" i="4"/>
  <c r="DG109" i="4"/>
  <c r="DG105" i="4"/>
  <c r="DH9" i="4"/>
  <c r="DH11" i="4" s="1"/>
  <c r="AV57" i="4"/>
  <c r="DJ16" i="4"/>
  <c r="DJ57" i="4" s="1"/>
  <c r="DI17" i="4"/>
  <c r="E144" i="3" l="1"/>
  <c r="DH119" i="4"/>
  <c r="DH109" i="4"/>
  <c r="DH105" i="4"/>
  <c r="DI9" i="4"/>
  <c r="DI11" i="4" s="1"/>
  <c r="AU57" i="4"/>
  <c r="DK16" i="4"/>
  <c r="DK57" i="4" s="1"/>
  <c r="DJ17" i="4"/>
  <c r="E145" i="3" l="1"/>
  <c r="J133" i="4"/>
  <c r="DI119" i="4"/>
  <c r="DI109" i="4"/>
  <c r="DI105" i="4"/>
  <c r="DJ9" i="4"/>
  <c r="DJ11" i="4" s="1"/>
  <c r="AT57" i="4"/>
  <c r="DL16" i="4"/>
  <c r="DL57" i="4" s="1"/>
  <c r="DK17" i="4"/>
  <c r="J70" i="8" l="1"/>
  <c r="E146" i="3"/>
  <c r="J135" i="4"/>
  <c r="DJ119" i="4"/>
  <c r="DJ109" i="4"/>
  <c r="DJ105" i="4"/>
  <c r="DK9" i="4"/>
  <c r="DK11" i="4" s="1"/>
  <c r="AS57" i="4"/>
  <c r="DM16" i="4"/>
  <c r="DM57" i="4" s="1"/>
  <c r="DL17" i="4"/>
  <c r="J12" i="10" l="1"/>
  <c r="J67" i="8"/>
  <c r="E147" i="3"/>
  <c r="J137" i="4"/>
  <c r="DK119" i="4"/>
  <c r="DK109" i="4"/>
  <c r="DK105" i="4"/>
  <c r="DL9" i="4"/>
  <c r="DL11" i="4" s="1"/>
  <c r="AR57" i="4"/>
  <c r="DN16" i="4"/>
  <c r="DN57" i="4" s="1"/>
  <c r="DM17" i="4"/>
  <c r="E148" i="3" l="1"/>
  <c r="J190" i="1" s="1"/>
  <c r="J139" i="4"/>
  <c r="DL119" i="4"/>
  <c r="DL109" i="4"/>
  <c r="DL105" i="4"/>
  <c r="DM9" i="4"/>
  <c r="DM11" i="4" s="1"/>
  <c r="AQ57" i="4"/>
  <c r="DO16" i="4"/>
  <c r="DO57" i="4" s="1"/>
  <c r="DN17" i="4"/>
  <c r="E149" i="3" l="1"/>
  <c r="DM119" i="4"/>
  <c r="DM109" i="4"/>
  <c r="DM105" i="4"/>
  <c r="DN9" i="4"/>
  <c r="DN11" i="4" s="1"/>
  <c r="AP57" i="4"/>
  <c r="DP16" i="4"/>
  <c r="DP57" i="4" s="1"/>
  <c r="DO17" i="4"/>
  <c r="J54" i="7" l="1"/>
  <c r="E150" i="3"/>
  <c r="J77" i="5"/>
  <c r="J141" i="4"/>
  <c r="DN119" i="4"/>
  <c r="DN109" i="4"/>
  <c r="DN105" i="4"/>
  <c r="DO9" i="4"/>
  <c r="DO11" i="4" s="1"/>
  <c r="AO57" i="4"/>
  <c r="DQ16" i="4"/>
  <c r="DQ57" i="4" s="1"/>
  <c r="DP17" i="4"/>
  <c r="E151" i="3" l="1"/>
  <c r="J143" i="4"/>
  <c r="DO119" i="4"/>
  <c r="DO109" i="4"/>
  <c r="DO105" i="4"/>
  <c r="DP9" i="4"/>
  <c r="DP11" i="4" s="1"/>
  <c r="AN57" i="4"/>
  <c r="DR16" i="4"/>
  <c r="DR57" i="4" s="1"/>
  <c r="DQ17" i="4"/>
  <c r="J48" i="7" l="1"/>
  <c r="E152" i="3"/>
  <c r="J71" i="5"/>
  <c r="DP119" i="4"/>
  <c r="DP109" i="4"/>
  <c r="DP105" i="4"/>
  <c r="DQ9" i="4"/>
  <c r="DQ11" i="4" s="1"/>
  <c r="AM57" i="4"/>
  <c r="DS16" i="4"/>
  <c r="DS57" i="4" s="1"/>
  <c r="DR17" i="4"/>
  <c r="E153" i="3" l="1"/>
  <c r="J180" i="1"/>
  <c r="DQ119" i="4"/>
  <c r="DQ109" i="4"/>
  <c r="DQ105" i="4"/>
  <c r="DR9" i="4"/>
  <c r="DR11" i="4" s="1"/>
  <c r="AL57" i="4"/>
  <c r="DT16" i="4"/>
  <c r="DT57" i="4" s="1"/>
  <c r="DS17" i="4"/>
  <c r="J50" i="7" l="1"/>
  <c r="J73" i="5"/>
  <c r="E154" i="3"/>
  <c r="DR119" i="4"/>
  <c r="DR109" i="4"/>
  <c r="DR105" i="4"/>
  <c r="DS9" i="4"/>
  <c r="DS11" i="4" s="1"/>
  <c r="AK57" i="4"/>
  <c r="DU16" i="4"/>
  <c r="DU57" i="4" s="1"/>
  <c r="DT17" i="4"/>
  <c r="J52" i="7" l="1"/>
  <c r="E155" i="3"/>
  <c r="J194" i="1" s="1"/>
  <c r="J75" i="5"/>
  <c r="DS119" i="4"/>
  <c r="DS109" i="4"/>
  <c r="DS105" i="4"/>
  <c r="DT9" i="4"/>
  <c r="DT11" i="4" s="1"/>
  <c r="AJ57" i="4"/>
  <c r="DV16" i="4"/>
  <c r="DV57" i="4" s="1"/>
  <c r="DU17" i="4"/>
  <c r="E156" i="3" l="1"/>
  <c r="DT119" i="4"/>
  <c r="DT109" i="4"/>
  <c r="DT105" i="4"/>
  <c r="DU9" i="4"/>
  <c r="DU11" i="4" s="1"/>
  <c r="AI57" i="4"/>
  <c r="DW16" i="4"/>
  <c r="DW57" i="4" s="1"/>
  <c r="DV17" i="4"/>
  <c r="E157" i="3" l="1"/>
  <c r="J145" i="4"/>
  <c r="DU119" i="4"/>
  <c r="DU109" i="4"/>
  <c r="DU105" i="4"/>
  <c r="DV9" i="4"/>
  <c r="DV11" i="4" s="1"/>
  <c r="AH57" i="4"/>
  <c r="DX16" i="4"/>
  <c r="DX57" i="4" s="1"/>
  <c r="DW17" i="4"/>
  <c r="J32" i="8" l="1"/>
  <c r="E158" i="3"/>
  <c r="J147" i="4"/>
  <c r="DV119" i="4"/>
  <c r="DV109" i="4"/>
  <c r="DV105" i="4"/>
  <c r="DW9" i="4"/>
  <c r="DW11" i="4" s="1"/>
  <c r="AG57" i="4"/>
  <c r="DY16" i="4"/>
  <c r="DY57" i="4" s="1"/>
  <c r="DX17" i="4"/>
  <c r="J19" i="7" l="1"/>
  <c r="E159" i="3"/>
  <c r="J196" i="1" s="1"/>
  <c r="J149" i="4"/>
  <c r="DW119" i="4"/>
  <c r="DW109" i="4"/>
  <c r="DW105" i="4"/>
  <c r="DX9" i="4"/>
  <c r="DX11" i="4" s="1"/>
  <c r="AF57" i="4"/>
  <c r="DZ16" i="4"/>
  <c r="DZ57" i="4" s="1"/>
  <c r="DY17" i="4"/>
  <c r="E160" i="3" l="1"/>
  <c r="DX119" i="4"/>
  <c r="DX109" i="4"/>
  <c r="DX105" i="4"/>
  <c r="DY9" i="4"/>
  <c r="DY11" i="4" s="1"/>
  <c r="AE57" i="4"/>
  <c r="EA16" i="4"/>
  <c r="EA57" i="4" s="1"/>
  <c r="DZ17" i="4"/>
  <c r="E161" i="3" l="1"/>
  <c r="J151" i="4"/>
  <c r="DY119" i="4"/>
  <c r="DY109" i="4"/>
  <c r="DY105" i="4"/>
  <c r="DZ9" i="4"/>
  <c r="DZ11" i="4" s="1"/>
  <c r="AD57" i="4"/>
  <c r="EB16" i="4"/>
  <c r="EB57" i="4" s="1"/>
  <c r="EA17" i="4"/>
  <c r="J34" i="8" l="1"/>
  <c r="E162" i="3"/>
  <c r="J24" i="7" s="1"/>
  <c r="J153" i="4"/>
  <c r="DZ119" i="4"/>
  <c r="DZ109" i="4"/>
  <c r="DZ105" i="4"/>
  <c r="EA9" i="4"/>
  <c r="EA11" i="4" s="1"/>
  <c r="AC57" i="4"/>
  <c r="EC16" i="4"/>
  <c r="EC57" i="4" s="1"/>
  <c r="EB17" i="4"/>
  <c r="J155" i="4" l="1"/>
  <c r="E163" i="3"/>
  <c r="J198" i="1" s="1"/>
  <c r="EA119" i="4"/>
  <c r="EA109" i="4"/>
  <c r="EA105" i="4"/>
  <c r="EB9" i="4"/>
  <c r="EB11" i="4" s="1"/>
  <c r="AB57" i="4"/>
  <c r="ED16" i="4"/>
  <c r="ED57" i="4" s="1"/>
  <c r="EC17" i="4"/>
  <c r="E164" i="3" l="1"/>
  <c r="EB119" i="4"/>
  <c r="EB109" i="4"/>
  <c r="EB105" i="4"/>
  <c r="EC9" i="4"/>
  <c r="EC11" i="4" s="1"/>
  <c r="AA57" i="4"/>
  <c r="EE16" i="4"/>
  <c r="EE57" i="4" s="1"/>
  <c r="ED17" i="4"/>
  <c r="J157" i="4" l="1"/>
  <c r="E165" i="3"/>
  <c r="EC119" i="4"/>
  <c r="EC109" i="4"/>
  <c r="EC105" i="4"/>
  <c r="ED9" i="4"/>
  <c r="ED11" i="4" s="1"/>
  <c r="Z57" i="4"/>
  <c r="EF16" i="4"/>
  <c r="EF57" i="4" s="1"/>
  <c r="EE17" i="4"/>
  <c r="J36" i="8" l="1"/>
  <c r="E166" i="3"/>
  <c r="J200" i="1" s="1"/>
  <c r="J159" i="4"/>
  <c r="ED119" i="4"/>
  <c r="ED109" i="4"/>
  <c r="ED105" i="4"/>
  <c r="EE9" i="4"/>
  <c r="EE11" i="4" s="1"/>
  <c r="Y57" i="4"/>
  <c r="EG16" i="4"/>
  <c r="EG57" i="4" s="1"/>
  <c r="EF17" i="4"/>
  <c r="E167" i="3" l="1"/>
  <c r="EE119" i="4"/>
  <c r="EE109" i="4"/>
  <c r="EE105" i="4"/>
  <c r="EF9" i="4"/>
  <c r="EF11" i="4" s="1"/>
  <c r="X57" i="4"/>
  <c r="EH16" i="4"/>
  <c r="EH57" i="4" s="1"/>
  <c r="EG17" i="4"/>
  <c r="J161" i="4" l="1"/>
  <c r="E168" i="3"/>
  <c r="EF119" i="4"/>
  <c r="EF109" i="4"/>
  <c r="EF105" i="4"/>
  <c r="EG9" i="4"/>
  <c r="W57" i="4"/>
  <c r="EI16" i="4"/>
  <c r="EH17" i="4"/>
  <c r="EG11" i="4" l="1"/>
  <c r="J38" i="8"/>
  <c r="E169" i="3"/>
  <c r="J202" i="1" s="1"/>
  <c r="J163" i="4"/>
  <c r="EG119" i="4"/>
  <c r="EG109" i="4"/>
  <c r="EG105" i="4"/>
  <c r="EI17" i="4"/>
  <c r="Q17" i="4" s="1"/>
  <c r="EI57" i="4"/>
  <c r="EH9" i="4"/>
  <c r="EH11" i="4" s="1"/>
  <c r="V57" i="4"/>
  <c r="E170" i="3" l="1"/>
  <c r="EH119" i="4"/>
  <c r="EH109" i="4"/>
  <c r="EH105" i="4"/>
  <c r="EI9" i="4"/>
  <c r="EI11" i="4" s="1"/>
  <c r="EI13" i="4" s="1"/>
  <c r="EH13" i="4" s="1"/>
  <c r="U57" i="4"/>
  <c r="EG13" i="4" l="1"/>
  <c r="EF13" i="4" s="1"/>
  <c r="EE13" i="4" s="1"/>
  <c r="ED13" i="4" s="1"/>
  <c r="EC13" i="4" s="1"/>
  <c r="EB13" i="4" s="1"/>
  <c r="EA13" i="4" s="1"/>
  <c r="DZ13" i="4" s="1"/>
  <c r="DY13" i="4" s="1"/>
  <c r="DX13" i="4" s="1"/>
  <c r="DW13" i="4" s="1"/>
  <c r="DV13" i="4" s="1"/>
  <c r="DU13" i="4" s="1"/>
  <c r="DT13" i="4" s="1"/>
  <c r="DS13" i="4" s="1"/>
  <c r="DR13" i="4" s="1"/>
  <c r="DQ13" i="4" s="1"/>
  <c r="DP13" i="4" s="1"/>
  <c r="DO13" i="4" s="1"/>
  <c r="DN13" i="4" s="1"/>
  <c r="DM13" i="4" s="1"/>
  <c r="DL13" i="4" s="1"/>
  <c r="DK13" i="4" s="1"/>
  <c r="DJ13" i="4" s="1"/>
  <c r="DI13" i="4" s="1"/>
  <c r="DH13" i="4" s="1"/>
  <c r="DG13" i="4" s="1"/>
  <c r="DF13" i="4" s="1"/>
  <c r="DE13" i="4" s="1"/>
  <c r="DD13" i="4" s="1"/>
  <c r="DC13" i="4" s="1"/>
  <c r="DB13" i="4" s="1"/>
  <c r="DA13" i="4" s="1"/>
  <c r="CZ13" i="4" s="1"/>
  <c r="CY13" i="4" s="1"/>
  <c r="CX13" i="4" s="1"/>
  <c r="CW13" i="4" s="1"/>
  <c r="CV13" i="4" s="1"/>
  <c r="CU13" i="4" s="1"/>
  <c r="CT13" i="4" s="1"/>
  <c r="CS13" i="4" s="1"/>
  <c r="CR13" i="4" s="1"/>
  <c r="CQ13" i="4" s="1"/>
  <c r="CP13" i="4" s="1"/>
  <c r="CO13" i="4" s="1"/>
  <c r="CN13" i="4" s="1"/>
  <c r="CM13" i="4" s="1"/>
  <c r="CL13" i="4" s="1"/>
  <c r="CK13" i="4" s="1"/>
  <c r="CJ13" i="4" s="1"/>
  <c r="CI13" i="4" s="1"/>
  <c r="CH13" i="4" s="1"/>
  <c r="CG13" i="4" s="1"/>
  <c r="CF13" i="4" s="1"/>
  <c r="CE13" i="4" s="1"/>
  <c r="CD13" i="4" s="1"/>
  <c r="CC13" i="4" s="1"/>
  <c r="CB13" i="4" s="1"/>
  <c r="CA13" i="4" s="1"/>
  <c r="BZ13" i="4" s="1"/>
  <c r="BY13" i="4" s="1"/>
  <c r="BX13" i="4" s="1"/>
  <c r="BW13" i="4" s="1"/>
  <c r="BV13" i="4" s="1"/>
  <c r="BU13" i="4" s="1"/>
  <c r="BT13" i="4" s="1"/>
  <c r="BS13" i="4" s="1"/>
  <c r="BR13" i="4" s="1"/>
  <c r="BQ13" i="4" s="1"/>
  <c r="BP13" i="4" s="1"/>
  <c r="BO13" i="4" s="1"/>
  <c r="BN13" i="4" s="1"/>
  <c r="BM13" i="4" s="1"/>
  <c r="BL13" i="4" s="1"/>
  <c r="BK13" i="4" s="1"/>
  <c r="BJ13" i="4" s="1"/>
  <c r="BI13" i="4" s="1"/>
  <c r="BH13" i="4" s="1"/>
  <c r="BG13" i="4" s="1"/>
  <c r="BF13" i="4" s="1"/>
  <c r="BE13" i="4" s="1"/>
  <c r="BD13" i="4" s="1"/>
  <c r="BC13" i="4" s="1"/>
  <c r="BB13" i="4" s="1"/>
  <c r="BA13" i="4" s="1"/>
  <c r="AZ13" i="4" s="1"/>
  <c r="AY13" i="4" s="1"/>
  <c r="AX13" i="4" s="1"/>
  <c r="AW13" i="4" s="1"/>
  <c r="AV13" i="4" s="1"/>
  <c r="AU13" i="4" s="1"/>
  <c r="AT13" i="4" s="1"/>
  <c r="AS13" i="4" s="1"/>
  <c r="AR13" i="4" s="1"/>
  <c r="AQ13" i="4" s="1"/>
  <c r="AP13" i="4" s="1"/>
  <c r="AO13" i="4" s="1"/>
  <c r="AN13" i="4" s="1"/>
  <c r="AM13" i="4" s="1"/>
  <c r="AL13" i="4" s="1"/>
  <c r="AK13" i="4" s="1"/>
  <c r="AJ13" i="4" s="1"/>
  <c r="AI13" i="4" s="1"/>
  <c r="AH13" i="4" s="1"/>
  <c r="AG13" i="4" s="1"/>
  <c r="AF13" i="4" s="1"/>
  <c r="AE13" i="4" s="1"/>
  <c r="AD13" i="4" s="1"/>
  <c r="AC13" i="4" s="1"/>
  <c r="AB13" i="4" s="1"/>
  <c r="AA13" i="4" s="1"/>
  <c r="Z13" i="4" s="1"/>
  <c r="Y13" i="4" s="1"/>
  <c r="X13" i="4" s="1"/>
  <c r="W13" i="4" s="1"/>
  <c r="V13" i="4" s="1"/>
  <c r="U13" i="4" s="1"/>
  <c r="T13" i="4" s="1"/>
  <c r="E171" i="3"/>
  <c r="J165" i="4"/>
  <c r="EI119" i="4"/>
  <c r="EI109" i="4"/>
  <c r="EI21" i="4"/>
  <c r="EI89" i="4" s="1"/>
  <c r="EI105" i="4"/>
  <c r="T57" i="4"/>
  <c r="J40" i="8" l="1"/>
  <c r="E172" i="3"/>
  <c r="J204" i="1" s="1"/>
  <c r="J167" i="4"/>
  <c r="P52" i="5"/>
  <c r="Q52" i="5"/>
  <c r="R52" i="5"/>
  <c r="S52" i="5"/>
  <c r="T52" i="5"/>
  <c r="U52" i="5"/>
  <c r="V52" i="5"/>
  <c r="W52" i="5"/>
  <c r="X52" i="5"/>
  <c r="Y52" i="5"/>
  <c r="Q109" i="4"/>
  <c r="P54" i="5"/>
  <c r="Q54" i="5"/>
  <c r="R54" i="5"/>
  <c r="S54" i="5"/>
  <c r="T54" i="5"/>
  <c r="U54" i="5"/>
  <c r="V54" i="5"/>
  <c r="W54" i="5"/>
  <c r="X54" i="5"/>
  <c r="Y54" i="5"/>
  <c r="Q57" i="4"/>
  <c r="Q11" i="4"/>
  <c r="E173" i="3" l="1"/>
  <c r="EI53" i="4"/>
  <c r="M54" i="5"/>
  <c r="M52" i="5"/>
  <c r="Q58" i="4"/>
  <c r="EI15" i="4"/>
  <c r="T61" i="4" s="1"/>
  <c r="EH21" i="4"/>
  <c r="EH89" i="4" s="1"/>
  <c r="E174" i="3" l="1"/>
  <c r="J169" i="4"/>
  <c r="EG21" i="4"/>
  <c r="EG89" i="4" s="1"/>
  <c r="EH53" i="4"/>
  <c r="EH15" i="4"/>
  <c r="U61" i="4" s="1"/>
  <c r="J42" i="8" l="1"/>
  <c r="E175" i="3"/>
  <c r="J206" i="1" s="1"/>
  <c r="J171" i="4"/>
  <c r="EF21" i="4"/>
  <c r="EF89" i="4" s="1"/>
  <c r="EG53" i="4"/>
  <c r="EG15" i="4"/>
  <c r="V61" i="4" s="1"/>
  <c r="E176" i="3" l="1"/>
  <c r="EE21" i="4"/>
  <c r="EE89" i="4" s="1"/>
  <c r="EF53" i="4"/>
  <c r="EF15" i="4"/>
  <c r="W61" i="4" s="1"/>
  <c r="E177" i="3" l="1"/>
  <c r="J173" i="4"/>
  <c r="ED21" i="4"/>
  <c r="ED89" i="4" s="1"/>
  <c r="EE53" i="4"/>
  <c r="EE15" i="4"/>
  <c r="X61" i="4" s="1"/>
  <c r="J44" i="8" l="1"/>
  <c r="E178" i="3"/>
  <c r="J208" i="1" s="1"/>
  <c r="J175" i="4"/>
  <c r="EC21" i="4"/>
  <c r="EC89" i="4" s="1"/>
  <c r="ED53" i="4"/>
  <c r="ED15" i="4"/>
  <c r="Y61" i="4" s="1"/>
  <c r="E179" i="3" l="1"/>
  <c r="EB21" i="4"/>
  <c r="EB89" i="4" s="1"/>
  <c r="EC53" i="4"/>
  <c r="EC15" i="4"/>
  <c r="Z61" i="4" s="1"/>
  <c r="E180" i="3" l="1"/>
  <c r="J177" i="4"/>
  <c r="EA21" i="4"/>
  <c r="EA89" i="4" s="1"/>
  <c r="EB53" i="4"/>
  <c r="EB15" i="4"/>
  <c r="AA61" i="4" s="1"/>
  <c r="J26" i="8" l="1"/>
  <c r="E181" i="3"/>
  <c r="J179" i="4"/>
  <c r="DZ21" i="4"/>
  <c r="DZ89" i="4" s="1"/>
  <c r="EA53" i="4"/>
  <c r="EA15" i="4"/>
  <c r="AB61" i="4" s="1"/>
  <c r="J31" i="8" l="1"/>
  <c r="E182" i="3"/>
  <c r="J181" i="4"/>
  <c r="DY21" i="4"/>
  <c r="DY89" i="4" s="1"/>
  <c r="DZ53" i="4"/>
  <c r="DZ15" i="4"/>
  <c r="AC61" i="4" s="1"/>
  <c r="J23" i="8" l="1"/>
  <c r="E183" i="3"/>
  <c r="J183" i="4"/>
  <c r="DX21" i="4"/>
  <c r="DX89" i="4" s="1"/>
  <c r="DY53" i="4"/>
  <c r="DY15" i="4"/>
  <c r="AD61" i="4" s="1"/>
  <c r="Y27" i="7" l="1"/>
  <c r="Y27" i="5"/>
  <c r="E184" i="3"/>
  <c r="J185" i="4"/>
  <c r="DW21" i="4"/>
  <c r="DW89" i="4" s="1"/>
  <c r="DX53" i="4"/>
  <c r="DX15" i="4"/>
  <c r="AE61" i="4" s="1"/>
  <c r="E185" i="3" l="1"/>
  <c r="E186" i="3" s="1"/>
  <c r="J210" i="1"/>
  <c r="E187" i="3"/>
  <c r="J56" i="8"/>
  <c r="DV21" i="4"/>
  <c r="DV89" i="4" s="1"/>
  <c r="DW53" i="4"/>
  <c r="DW15" i="4"/>
  <c r="AF61" i="4" s="1"/>
  <c r="E188" i="3" l="1"/>
  <c r="E189" i="3" s="1"/>
  <c r="E190" i="3" s="1"/>
  <c r="E191" i="3" s="1"/>
  <c r="J59" i="8"/>
  <c r="J187" i="4"/>
  <c r="DU21" i="4"/>
  <c r="DU89" i="4" s="1"/>
  <c r="DV53" i="4"/>
  <c r="DV15" i="4"/>
  <c r="AG61" i="4" s="1"/>
  <c r="E192" i="3" l="1"/>
  <c r="E193" i="3" s="1"/>
  <c r="E194" i="3" s="1"/>
  <c r="J61" i="8"/>
  <c r="J189" i="4"/>
  <c r="DT21" i="4"/>
  <c r="DT89" i="4" s="1"/>
  <c r="DU53" i="4"/>
  <c r="DU15" i="4"/>
  <c r="AH61" i="4" s="1"/>
  <c r="E195" i="3" l="1"/>
  <c r="J205" i="4"/>
  <c r="J20" i="7"/>
  <c r="J191" i="4"/>
  <c r="DS21" i="4"/>
  <c r="DS89" i="4" s="1"/>
  <c r="DT53" i="4"/>
  <c r="DT15" i="4"/>
  <c r="AI61" i="4" s="1"/>
  <c r="E196" i="3" l="1"/>
  <c r="J207" i="4"/>
  <c r="J21" i="7"/>
  <c r="J193" i="4"/>
  <c r="DR21" i="4"/>
  <c r="DR89" i="4" s="1"/>
  <c r="DS53" i="4"/>
  <c r="DS15" i="4"/>
  <c r="AJ61" i="4" s="1"/>
  <c r="E197" i="3" l="1"/>
  <c r="J46" i="7" s="1"/>
  <c r="J209" i="4"/>
  <c r="J22" i="7"/>
  <c r="J195" i="4"/>
  <c r="DQ21" i="4"/>
  <c r="DQ89" i="4" s="1"/>
  <c r="DR53" i="4"/>
  <c r="DR15" i="4"/>
  <c r="AK61" i="4" s="1"/>
  <c r="E198" i="3" l="1"/>
  <c r="J69" i="5"/>
  <c r="J197" i="4"/>
  <c r="DP21" i="4"/>
  <c r="DP89" i="4" s="1"/>
  <c r="DQ53" i="4"/>
  <c r="DQ15" i="4"/>
  <c r="AL61" i="4" s="1"/>
  <c r="E199" i="3" l="1"/>
  <c r="J18" i="7"/>
  <c r="J199" i="4"/>
  <c r="DO21" i="4"/>
  <c r="DO89" i="4" s="1"/>
  <c r="DP53" i="4"/>
  <c r="DP15" i="4"/>
  <c r="AM61" i="4" s="1"/>
  <c r="E200" i="3" l="1"/>
  <c r="J25" i="8"/>
  <c r="J201" i="4"/>
  <c r="DN21" i="4"/>
  <c r="DN89" i="4" s="1"/>
  <c r="DO53" i="4"/>
  <c r="DO15" i="4"/>
  <c r="AN61" i="4" s="1"/>
  <c r="E201" i="3" l="1"/>
  <c r="J53" i="8"/>
  <c r="J203" i="4"/>
  <c r="DM21" i="4"/>
  <c r="DM89" i="4" s="1"/>
  <c r="DN53" i="4"/>
  <c r="DN15" i="4"/>
  <c r="AO61" i="4" s="1"/>
  <c r="E202" i="3" l="1"/>
  <c r="J55" i="8"/>
  <c r="DL21" i="4"/>
  <c r="DL89" i="4" s="1"/>
  <c r="DM53" i="4"/>
  <c r="DM15" i="4"/>
  <c r="AP61" i="4" s="1"/>
  <c r="X27" i="7" l="1"/>
  <c r="X27" i="5"/>
  <c r="E203" i="3"/>
  <c r="J58" i="8"/>
  <c r="DK21" i="4"/>
  <c r="DK89" i="4" s="1"/>
  <c r="DL53" i="4"/>
  <c r="DL15" i="4"/>
  <c r="AQ61" i="4" s="1"/>
  <c r="E204" i="3" l="1"/>
  <c r="J64" i="8"/>
  <c r="DJ21" i="4"/>
  <c r="DJ89" i="4" s="1"/>
  <c r="DK53" i="4"/>
  <c r="DK15" i="4"/>
  <c r="AR61" i="4" s="1"/>
  <c r="E205" i="3" l="1"/>
  <c r="J66" i="8"/>
  <c r="DI21" i="4"/>
  <c r="DI89" i="4" s="1"/>
  <c r="DJ53" i="4"/>
  <c r="DJ15" i="4"/>
  <c r="AS61" i="4" s="1"/>
  <c r="E206" i="3" l="1"/>
  <c r="J69" i="8"/>
  <c r="DH21" i="4"/>
  <c r="DH89" i="4" s="1"/>
  <c r="DI53" i="4"/>
  <c r="DI15" i="4"/>
  <c r="AT61" i="4" s="1"/>
  <c r="E207" i="3" l="1"/>
  <c r="J18" i="10" s="1"/>
  <c r="J14" i="8"/>
  <c r="DG21" i="4"/>
  <c r="DG89" i="4" s="1"/>
  <c r="DH53" i="4"/>
  <c r="DH15" i="4"/>
  <c r="AU61" i="4" s="1"/>
  <c r="E208" i="3" l="1"/>
  <c r="J22" i="10" s="1"/>
  <c r="J17" i="9"/>
  <c r="J16" i="8"/>
  <c r="DF21" i="4"/>
  <c r="DF89" i="4" s="1"/>
  <c r="DG53" i="4"/>
  <c r="DG15" i="4"/>
  <c r="AV61" i="4" s="1"/>
  <c r="J19" i="9" l="1"/>
  <c r="E209" i="3"/>
  <c r="J18" i="8"/>
  <c r="DE21" i="4"/>
  <c r="DE89" i="4" s="1"/>
  <c r="DF53" i="4"/>
  <c r="DF15" i="4"/>
  <c r="AW61" i="4" s="1"/>
  <c r="E210" i="3" l="1"/>
  <c r="J12" i="8"/>
  <c r="DD21" i="4"/>
  <c r="DD89" i="4" s="1"/>
  <c r="DE53" i="4"/>
  <c r="DE15" i="4"/>
  <c r="AX61" i="4" s="1"/>
  <c r="J26" i="9" l="1"/>
  <c r="E211" i="3"/>
  <c r="J21" i="8"/>
  <c r="DC21" i="4"/>
  <c r="DC89" i="4" s="1"/>
  <c r="DD53" i="4"/>
  <c r="DD15" i="4"/>
  <c r="AY61" i="4" s="1"/>
  <c r="E212" i="3" l="1"/>
  <c r="J13" i="9"/>
  <c r="DB21" i="4"/>
  <c r="DB89" i="4" s="1"/>
  <c r="DC53" i="4"/>
  <c r="DC15" i="4"/>
  <c r="AZ61" i="4" s="1"/>
  <c r="E213" i="3" l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J15" i="9"/>
  <c r="DA21" i="4"/>
  <c r="DA89" i="4" s="1"/>
  <c r="DB53" i="4"/>
  <c r="DB15" i="4"/>
  <c r="BA61" i="4" s="1"/>
  <c r="E266" i="3" l="1"/>
  <c r="J33" i="10"/>
  <c r="J24" i="9"/>
  <c r="CZ21" i="4"/>
  <c r="CZ89" i="4" s="1"/>
  <c r="DA53" i="4"/>
  <c r="DA15" i="4"/>
  <c r="BB61" i="4" s="1"/>
  <c r="E267" i="3" l="1"/>
  <c r="E268" i="3" s="1"/>
  <c r="E269" i="3" s="1"/>
  <c r="E270" i="3" s="1"/>
  <c r="J53" i="10"/>
  <c r="W27" i="7"/>
  <c r="W27" i="5"/>
  <c r="J27" i="4"/>
  <c r="CY21" i="4"/>
  <c r="CY89" i="4" s="1"/>
  <c r="CZ53" i="4"/>
  <c r="CZ15" i="4"/>
  <c r="BC61" i="4" s="1"/>
  <c r="E271" i="3" l="1"/>
  <c r="J56" i="10"/>
  <c r="J51" i="10"/>
  <c r="J29" i="4"/>
  <c r="CX21" i="4"/>
  <c r="CX89" i="4" s="1"/>
  <c r="CY53" i="4"/>
  <c r="CY15" i="4"/>
  <c r="BD61" i="4" s="1"/>
  <c r="E272" i="3" l="1"/>
  <c r="J58" i="10"/>
  <c r="J47" i="4"/>
  <c r="CW21" i="4"/>
  <c r="CW89" i="4" s="1"/>
  <c r="CX53" i="4"/>
  <c r="CX15" i="4"/>
  <c r="BE61" i="4" s="1"/>
  <c r="E273" i="3" l="1"/>
  <c r="E274" i="3" s="1"/>
  <c r="E275" i="3" s="1"/>
  <c r="J62" i="10"/>
  <c r="J211" i="4"/>
  <c r="J28" i="9"/>
  <c r="CV21" i="4"/>
  <c r="CV89" i="4" s="1"/>
  <c r="CW53" i="4"/>
  <c r="CW15" i="4"/>
  <c r="BF61" i="4" s="1"/>
  <c r="J213" i="4" l="1"/>
  <c r="J30" i="9"/>
  <c r="CU21" i="4"/>
  <c r="CU89" i="4" s="1"/>
  <c r="CV53" i="4"/>
  <c r="CV15" i="4"/>
  <c r="BG61" i="4" s="1"/>
  <c r="J32" i="9" l="1"/>
  <c r="CT21" i="4"/>
  <c r="CT89" i="4" s="1"/>
  <c r="CU53" i="4"/>
  <c r="CU15" i="4"/>
  <c r="BH61" i="4" s="1"/>
  <c r="J37" i="9" l="1"/>
  <c r="CS21" i="4"/>
  <c r="CS89" i="4" s="1"/>
  <c r="CT53" i="4"/>
  <c r="CT15" i="4"/>
  <c r="BI61" i="4" s="1"/>
  <c r="J39" i="9" l="1"/>
  <c r="CR21" i="4"/>
  <c r="CR89" i="4" s="1"/>
  <c r="CS53" i="4"/>
  <c r="CS15" i="4"/>
  <c r="BJ61" i="4" s="1"/>
  <c r="J41" i="9" l="1"/>
  <c r="CQ21" i="4"/>
  <c r="CQ89" i="4" s="1"/>
  <c r="CR53" i="4"/>
  <c r="CR15" i="4"/>
  <c r="BK61" i="4" s="1"/>
  <c r="J43" i="9" l="1"/>
  <c r="CP21" i="4"/>
  <c r="CP89" i="4" s="1"/>
  <c r="CQ53" i="4"/>
  <c r="CQ15" i="4"/>
  <c r="BL61" i="4" s="1"/>
  <c r="CO21" i="4" l="1"/>
  <c r="CO89" i="4" s="1"/>
  <c r="CP53" i="4"/>
  <c r="CP15" i="4"/>
  <c r="BM61" i="4" s="1"/>
  <c r="J46" i="9" l="1"/>
  <c r="CN21" i="4"/>
  <c r="CN89" i="4" s="1"/>
  <c r="CO53" i="4"/>
  <c r="CO15" i="4"/>
  <c r="BN61" i="4" s="1"/>
  <c r="V27" i="7" l="1"/>
  <c r="V27" i="5"/>
  <c r="J48" i="9"/>
  <c r="CM21" i="4"/>
  <c r="CM89" i="4" s="1"/>
  <c r="CN53" i="4"/>
  <c r="CN15" i="4"/>
  <c r="BO61" i="4" s="1"/>
  <c r="J50" i="9" l="1"/>
  <c r="CL21" i="4"/>
  <c r="CL89" i="4" s="1"/>
  <c r="CM53" i="4"/>
  <c r="CM15" i="4"/>
  <c r="BP61" i="4" s="1"/>
  <c r="J52" i="9" l="1"/>
  <c r="CK21" i="4"/>
  <c r="CK89" i="4" s="1"/>
  <c r="CL53" i="4"/>
  <c r="CL15" i="4"/>
  <c r="BQ61" i="4" s="1"/>
  <c r="J54" i="9" l="1"/>
  <c r="CJ21" i="4"/>
  <c r="CJ89" i="4" s="1"/>
  <c r="CK53" i="4"/>
  <c r="CK15" i="4"/>
  <c r="BR61" i="4" s="1"/>
  <c r="J56" i="9" l="1"/>
  <c r="CI21" i="4"/>
  <c r="CI89" i="4" s="1"/>
  <c r="CJ53" i="4"/>
  <c r="CJ15" i="4"/>
  <c r="BS61" i="4" s="1"/>
  <c r="J58" i="9" l="1"/>
  <c r="CH21" i="4"/>
  <c r="CH89" i="4" s="1"/>
  <c r="CI53" i="4"/>
  <c r="CI15" i="4"/>
  <c r="BT61" i="4" s="1"/>
  <c r="J60" i="9" l="1"/>
  <c r="CG21" i="4"/>
  <c r="CG89" i="4" s="1"/>
  <c r="CH53" i="4"/>
  <c r="CH15" i="4"/>
  <c r="BU61" i="4" s="1"/>
  <c r="J62" i="9" l="1"/>
  <c r="CF21" i="4"/>
  <c r="CF89" i="4" s="1"/>
  <c r="CG53" i="4"/>
  <c r="CG15" i="4"/>
  <c r="BV61" i="4" s="1"/>
  <c r="J64" i="9" l="1"/>
  <c r="CE21" i="4"/>
  <c r="CE89" i="4" s="1"/>
  <c r="CF53" i="4"/>
  <c r="CF15" i="4"/>
  <c r="BW61" i="4" s="1"/>
  <c r="J66" i="9" l="1"/>
  <c r="CD21" i="4"/>
  <c r="CD89" i="4" s="1"/>
  <c r="CE53" i="4"/>
  <c r="CE15" i="4"/>
  <c r="BX61" i="4" s="1"/>
  <c r="J11" i="9" l="1"/>
  <c r="CC21" i="4"/>
  <c r="CC89" i="4" s="1"/>
  <c r="CD53" i="4"/>
  <c r="CD15" i="4"/>
  <c r="BY61" i="4" s="1"/>
  <c r="J182" i="1" l="1"/>
  <c r="CB21" i="4"/>
  <c r="CB89" i="4" s="1"/>
  <c r="CC53" i="4"/>
  <c r="CC15" i="4"/>
  <c r="BZ61" i="4" s="1"/>
  <c r="U27" i="7" l="1"/>
  <c r="U27" i="5"/>
  <c r="J184" i="1"/>
  <c r="CA21" i="4"/>
  <c r="CA89" i="4" s="1"/>
  <c r="CB53" i="4"/>
  <c r="CB15" i="4"/>
  <c r="CA61" i="4" s="1"/>
  <c r="J186" i="1" l="1"/>
  <c r="BZ21" i="4"/>
  <c r="BZ89" i="4" s="1"/>
  <c r="CA53" i="4"/>
  <c r="CA15" i="4"/>
  <c r="CB61" i="4" s="1"/>
  <c r="J60" i="5" l="1"/>
  <c r="J37" i="7"/>
  <c r="BY21" i="4"/>
  <c r="BY89" i="4" s="1"/>
  <c r="BZ53" i="4"/>
  <c r="BZ15" i="4"/>
  <c r="CC61" i="4" s="1"/>
  <c r="J68" i="9" l="1"/>
  <c r="BX21" i="4"/>
  <c r="BX89" i="4" s="1"/>
  <c r="BY53" i="4"/>
  <c r="BY15" i="4"/>
  <c r="CD61" i="4" s="1"/>
  <c r="J215" i="4" l="1"/>
  <c r="J46" i="8"/>
  <c r="BW21" i="4"/>
  <c r="BW89" i="4" s="1"/>
  <c r="BX53" i="4"/>
  <c r="BX15" i="4"/>
  <c r="CE61" i="4" s="1"/>
  <c r="J70" i="9" l="1"/>
  <c r="BV21" i="4"/>
  <c r="BV89" i="4" s="1"/>
  <c r="BW53" i="4"/>
  <c r="BW15" i="4"/>
  <c r="CF61" i="4" s="1"/>
  <c r="J48" i="8" l="1"/>
  <c r="J217" i="4"/>
  <c r="BU21" i="4"/>
  <c r="BU89" i="4" s="1"/>
  <c r="BV53" i="4"/>
  <c r="BV15" i="4"/>
  <c r="CG61" i="4" s="1"/>
  <c r="J219" i="4" l="1"/>
  <c r="BT21" i="4"/>
  <c r="BT89" i="4" s="1"/>
  <c r="BU53" i="4"/>
  <c r="BU15" i="4"/>
  <c r="CH61" i="4" s="1"/>
  <c r="J223" i="4" l="1"/>
  <c r="J50" i="8"/>
  <c r="J221" i="4"/>
  <c r="J28" i="8"/>
  <c r="BS21" i="4"/>
  <c r="BS89" i="4" s="1"/>
  <c r="BT53" i="4"/>
  <c r="BT15" i="4"/>
  <c r="CI61" i="4" s="1"/>
  <c r="J34" i="9" l="1"/>
  <c r="BR21" i="4"/>
  <c r="BR89" i="4" s="1"/>
  <c r="BS53" i="4"/>
  <c r="BS15" i="4"/>
  <c r="CJ61" i="4" s="1"/>
  <c r="J72" i="9" l="1"/>
  <c r="BQ21" i="4"/>
  <c r="BQ89" i="4" s="1"/>
  <c r="BR53" i="4"/>
  <c r="BR15" i="4"/>
  <c r="CK61" i="4" s="1"/>
  <c r="J16" i="10" l="1"/>
  <c r="BP21" i="4"/>
  <c r="BP89" i="4" s="1"/>
  <c r="BQ53" i="4"/>
  <c r="BQ15" i="4"/>
  <c r="CL61" i="4" s="1"/>
  <c r="J14" i="10" l="1"/>
  <c r="T27" i="7"/>
  <c r="T27" i="5"/>
  <c r="BO21" i="4"/>
  <c r="BP53" i="4"/>
  <c r="BP15" i="4"/>
  <c r="CM61" i="4" s="1"/>
  <c r="J20" i="10" l="1"/>
  <c r="J24" i="10"/>
  <c r="BO45" i="4"/>
  <c r="BO89" i="4"/>
  <c r="BN21" i="4"/>
  <c r="BO53" i="4"/>
  <c r="BO15" i="4"/>
  <c r="CN61" i="4" s="1"/>
  <c r="J29" i="10" l="1"/>
  <c r="J26" i="10"/>
  <c r="BO91" i="4"/>
  <c r="BO111" i="4"/>
  <c r="BN45" i="4"/>
  <c r="BN89" i="4"/>
  <c r="BM21" i="4"/>
  <c r="BN53" i="4"/>
  <c r="BN15" i="4"/>
  <c r="CO61" i="4" s="1"/>
  <c r="J35" i="10" l="1"/>
  <c r="BN91" i="4"/>
  <c r="BN111" i="4"/>
  <c r="BM45" i="4"/>
  <c r="BM89" i="4"/>
  <c r="BL21" i="4"/>
  <c r="BM53" i="4"/>
  <c r="BM15" i="4"/>
  <c r="CP61" i="4" s="1"/>
  <c r="J39" i="10" l="1"/>
  <c r="BM91" i="4"/>
  <c r="BM111" i="4"/>
  <c r="BL45" i="4"/>
  <c r="BL89" i="4"/>
  <c r="BK21" i="4"/>
  <c r="BL53" i="4"/>
  <c r="BL15" i="4"/>
  <c r="CQ61" i="4" s="1"/>
  <c r="J41" i="10" l="1"/>
  <c r="BL91" i="4"/>
  <c r="BL111" i="4"/>
  <c r="BK45" i="4"/>
  <c r="BK89" i="4"/>
  <c r="BJ21" i="4"/>
  <c r="BK53" i="4"/>
  <c r="BK15" i="4"/>
  <c r="CR61" i="4" s="1"/>
  <c r="J43" i="10" l="1"/>
  <c r="BK91" i="4"/>
  <c r="BK111" i="4"/>
  <c r="BJ45" i="4"/>
  <c r="BJ89" i="4"/>
  <c r="BI21" i="4"/>
  <c r="BJ53" i="4"/>
  <c r="BJ15" i="4"/>
  <c r="CS61" i="4" s="1"/>
  <c r="J45" i="10" l="1"/>
  <c r="BJ91" i="4"/>
  <c r="BJ111" i="4"/>
  <c r="BI45" i="4"/>
  <c r="BI89" i="4"/>
  <c r="BH21" i="4"/>
  <c r="BI53" i="4"/>
  <c r="BI15" i="4"/>
  <c r="CT61" i="4" s="1"/>
  <c r="J31" i="10" l="1"/>
  <c r="BI91" i="4"/>
  <c r="BI111" i="4"/>
  <c r="BH45" i="4"/>
  <c r="BH89" i="4"/>
  <c r="BG21" i="4"/>
  <c r="BH53" i="4"/>
  <c r="BH15" i="4"/>
  <c r="CU61" i="4" s="1"/>
  <c r="J47" i="10" l="1"/>
  <c r="BH91" i="4"/>
  <c r="BH111" i="4"/>
  <c r="BG45" i="4"/>
  <c r="BG89" i="4"/>
  <c r="BF21" i="4"/>
  <c r="BG53" i="4"/>
  <c r="BG15" i="4"/>
  <c r="CV61" i="4" s="1"/>
  <c r="J49" i="10" l="1"/>
  <c r="BG91" i="4"/>
  <c r="BG111" i="4"/>
  <c r="BF45" i="4"/>
  <c r="BF89" i="4"/>
  <c r="BE21" i="4"/>
  <c r="BF53" i="4"/>
  <c r="BF15" i="4"/>
  <c r="CW61" i="4" s="1"/>
  <c r="J79" i="5" l="1"/>
  <c r="J56" i="7"/>
  <c r="BF91" i="4"/>
  <c r="BF111" i="4"/>
  <c r="BE45" i="4"/>
  <c r="BE89" i="4"/>
  <c r="BD21" i="4"/>
  <c r="BE53" i="4"/>
  <c r="BE15" i="4"/>
  <c r="CX61" i="4" s="1"/>
  <c r="BE91" i="4" l="1"/>
  <c r="BE111" i="4"/>
  <c r="BD45" i="4"/>
  <c r="S12" i="5" s="1"/>
  <c r="BD89" i="4"/>
  <c r="BC21" i="4"/>
  <c r="BD53" i="4"/>
  <c r="BD15" i="4"/>
  <c r="CY61" i="4" s="1"/>
  <c r="S27" i="7" l="1"/>
  <c r="S27" i="5"/>
  <c r="S12" i="7"/>
  <c r="BD91" i="4"/>
  <c r="BD111" i="4"/>
  <c r="BC45" i="4"/>
  <c r="BC89" i="4"/>
  <c r="BB21" i="4"/>
  <c r="BC53" i="4"/>
  <c r="BC15" i="4"/>
  <c r="CZ61" i="4" s="1"/>
  <c r="S29" i="7" l="1"/>
  <c r="S29" i="5"/>
  <c r="S35" i="5"/>
  <c r="BC91" i="4"/>
  <c r="BC111" i="4"/>
  <c r="BB45" i="4"/>
  <c r="BB89" i="4"/>
  <c r="BA21" i="4"/>
  <c r="BB53" i="4"/>
  <c r="BB15" i="4"/>
  <c r="DA61" i="4" s="1"/>
  <c r="BB91" i="4" l="1"/>
  <c r="BB111" i="4"/>
  <c r="BA45" i="4"/>
  <c r="BA89" i="4"/>
  <c r="AZ21" i="4"/>
  <c r="BA53" i="4"/>
  <c r="BA15" i="4"/>
  <c r="DB61" i="4" s="1"/>
  <c r="BA91" i="4" l="1"/>
  <c r="BA111" i="4"/>
  <c r="AZ45" i="4"/>
  <c r="AZ89" i="4"/>
  <c r="AY21" i="4"/>
  <c r="AZ53" i="4"/>
  <c r="AZ15" i="4"/>
  <c r="DC61" i="4" s="1"/>
  <c r="AZ91" i="4" l="1"/>
  <c r="AZ111" i="4"/>
  <c r="AY45" i="4"/>
  <c r="AY89" i="4"/>
  <c r="AX21" i="4"/>
  <c r="AY53" i="4"/>
  <c r="AY15" i="4"/>
  <c r="DD61" i="4" s="1"/>
  <c r="AY91" i="4" l="1"/>
  <c r="AY111" i="4"/>
  <c r="AX45" i="4"/>
  <c r="AX89" i="4"/>
  <c r="AW21" i="4"/>
  <c r="AX53" i="4"/>
  <c r="AX15" i="4"/>
  <c r="DE61" i="4" s="1"/>
  <c r="AX91" i="4" l="1"/>
  <c r="AX111" i="4"/>
  <c r="AW45" i="4"/>
  <c r="AW89" i="4"/>
  <c r="AV21" i="4"/>
  <c r="AW53" i="4"/>
  <c r="AW15" i="4"/>
  <c r="DF61" i="4" s="1"/>
  <c r="AW91" i="4" l="1"/>
  <c r="AW111" i="4"/>
  <c r="AV45" i="4"/>
  <c r="AV89" i="4"/>
  <c r="AU21" i="4"/>
  <c r="AV53" i="4"/>
  <c r="AV15" i="4"/>
  <c r="DG61" i="4" s="1"/>
  <c r="AV91" i="4" l="1"/>
  <c r="AV111" i="4"/>
  <c r="AU45" i="4"/>
  <c r="AU89" i="4"/>
  <c r="AT21" i="4"/>
  <c r="AU53" i="4"/>
  <c r="AU15" i="4"/>
  <c r="DH61" i="4" s="1"/>
  <c r="AU91" i="4" l="1"/>
  <c r="AU111" i="4"/>
  <c r="AT45" i="4"/>
  <c r="AT89" i="4"/>
  <c r="AS21" i="4"/>
  <c r="AT53" i="4"/>
  <c r="AT15" i="4"/>
  <c r="DI61" i="4" s="1"/>
  <c r="AT91" i="4" l="1"/>
  <c r="AT111" i="4"/>
  <c r="AS45" i="4"/>
  <c r="AS89" i="4"/>
  <c r="AR21" i="4"/>
  <c r="AS53" i="4"/>
  <c r="AS15" i="4"/>
  <c r="DJ61" i="4" s="1"/>
  <c r="AS91" i="4" l="1"/>
  <c r="AS111" i="4"/>
  <c r="AR45" i="4"/>
  <c r="R12" i="5" s="1"/>
  <c r="AR89" i="4"/>
  <c r="AQ21" i="4"/>
  <c r="AR53" i="4"/>
  <c r="AR15" i="4"/>
  <c r="DK61" i="4" s="1"/>
  <c r="R27" i="7" l="1"/>
  <c r="R27" i="5"/>
  <c r="R12" i="7"/>
  <c r="AR91" i="4"/>
  <c r="AR111" i="4"/>
  <c r="AQ45" i="4"/>
  <c r="AQ89" i="4"/>
  <c r="AP21" i="4"/>
  <c r="AQ53" i="4"/>
  <c r="AQ15" i="4"/>
  <c r="DL61" i="4" s="1"/>
  <c r="R29" i="7" l="1"/>
  <c r="R29" i="5"/>
  <c r="R35" i="5"/>
  <c r="AQ91" i="4"/>
  <c r="AQ111" i="4"/>
  <c r="AP45" i="4"/>
  <c r="AP89" i="4"/>
  <c r="AO21" i="4"/>
  <c r="AP53" i="4"/>
  <c r="AP15" i="4"/>
  <c r="DM61" i="4" s="1"/>
  <c r="AP91" i="4" l="1"/>
  <c r="AP111" i="4"/>
  <c r="AO45" i="4"/>
  <c r="AO89" i="4"/>
  <c r="AN21" i="4"/>
  <c r="AO53" i="4"/>
  <c r="AO15" i="4"/>
  <c r="DN61" i="4" s="1"/>
  <c r="AO91" i="4" l="1"/>
  <c r="AO111" i="4"/>
  <c r="AN45" i="4"/>
  <c r="AN89" i="4"/>
  <c r="AM21" i="4"/>
  <c r="AN53" i="4"/>
  <c r="AN15" i="4"/>
  <c r="DO61" i="4" s="1"/>
  <c r="AN91" i="4" l="1"/>
  <c r="AN111" i="4"/>
  <c r="AM45" i="4"/>
  <c r="AM89" i="4"/>
  <c r="AL21" i="4"/>
  <c r="AM53" i="4"/>
  <c r="AM15" i="4"/>
  <c r="DP61" i="4" s="1"/>
  <c r="AM91" i="4" l="1"/>
  <c r="AM111" i="4"/>
  <c r="AL45" i="4"/>
  <c r="AL89" i="4"/>
  <c r="AK21" i="4"/>
  <c r="AL53" i="4"/>
  <c r="AL15" i="4"/>
  <c r="DQ61" i="4" s="1"/>
  <c r="AL91" i="4" l="1"/>
  <c r="AL111" i="4"/>
  <c r="AK45" i="4"/>
  <c r="AK89" i="4"/>
  <c r="AJ21" i="4"/>
  <c r="AK53" i="4"/>
  <c r="AK15" i="4"/>
  <c r="DR61" i="4" s="1"/>
  <c r="AK91" i="4" l="1"/>
  <c r="AK111" i="4"/>
  <c r="AJ45" i="4"/>
  <c r="AJ89" i="4"/>
  <c r="AI21" i="4"/>
  <c r="AJ53" i="4"/>
  <c r="AJ91" i="4" l="1"/>
  <c r="AJ111" i="4"/>
  <c r="AI45" i="4"/>
  <c r="AI89" i="4"/>
  <c r="AH21" i="4"/>
  <c r="AI53" i="4"/>
  <c r="AI15" i="4"/>
  <c r="DT61" i="4" s="1"/>
  <c r="AI91" i="4" l="1"/>
  <c r="AI111" i="4"/>
  <c r="AH45" i="4"/>
  <c r="AH89" i="4"/>
  <c r="AG21" i="4"/>
  <c r="AH53" i="4"/>
  <c r="AH15" i="4"/>
  <c r="DU61" i="4" s="1"/>
  <c r="AH91" i="4" l="1"/>
  <c r="AH111" i="4"/>
  <c r="AG45" i="4"/>
  <c r="AG89" i="4"/>
  <c r="AF21" i="4"/>
  <c r="AG53" i="4"/>
  <c r="AG15" i="4"/>
  <c r="DV61" i="4" s="1"/>
  <c r="AG91" i="4" l="1"/>
  <c r="AG111" i="4"/>
  <c r="AF45" i="4"/>
  <c r="Q12" i="5" s="1"/>
  <c r="AF89" i="4"/>
  <c r="AE21" i="4"/>
  <c r="AF53" i="4"/>
  <c r="AF15" i="4"/>
  <c r="DW61" i="4" s="1"/>
  <c r="Q27" i="7" l="1"/>
  <c r="Q27" i="5"/>
  <c r="Q12" i="7"/>
  <c r="AF91" i="4"/>
  <c r="AF111" i="4"/>
  <c r="AE45" i="4"/>
  <c r="AE89" i="4"/>
  <c r="AD21" i="4"/>
  <c r="AE53" i="4"/>
  <c r="Q29" i="7" l="1"/>
  <c r="Q29" i="5"/>
  <c r="Q35" i="5"/>
  <c r="AE91" i="4"/>
  <c r="AE111" i="4"/>
  <c r="AD45" i="4"/>
  <c r="AD89" i="4"/>
  <c r="AC21" i="4"/>
  <c r="AD53" i="4"/>
  <c r="AD15" i="4"/>
  <c r="DY61" i="4" s="1"/>
  <c r="AD91" i="4" l="1"/>
  <c r="AD111" i="4"/>
  <c r="AC45" i="4"/>
  <c r="AC89" i="4"/>
  <c r="AB21" i="4"/>
  <c r="AC53" i="4"/>
  <c r="AC91" i="4" l="1"/>
  <c r="AC111" i="4"/>
  <c r="AB45" i="4"/>
  <c r="AB89" i="4"/>
  <c r="AA21" i="4"/>
  <c r="AB53" i="4"/>
  <c r="AB91" i="4" l="1"/>
  <c r="AB111" i="4"/>
  <c r="AA45" i="4"/>
  <c r="AA89" i="4"/>
  <c r="Z21" i="4"/>
  <c r="AA53" i="4"/>
  <c r="AA91" i="4" l="1"/>
  <c r="AA111" i="4"/>
  <c r="Z45" i="4"/>
  <c r="Z89" i="4"/>
  <c r="Y21" i="4"/>
  <c r="Z53" i="4"/>
  <c r="Z91" i="4" l="1"/>
  <c r="Z111" i="4"/>
  <c r="Y45" i="4"/>
  <c r="Y89" i="4"/>
  <c r="X21" i="4"/>
  <c r="Y53" i="4"/>
  <c r="Y15" i="4"/>
  <c r="ED61" i="4" s="1"/>
  <c r="Y91" i="4" l="1"/>
  <c r="Y111" i="4"/>
  <c r="X45" i="4"/>
  <c r="X89" i="4"/>
  <c r="W21" i="4"/>
  <c r="X53" i="4"/>
  <c r="X91" i="4" l="1"/>
  <c r="X111" i="4"/>
  <c r="W45" i="4"/>
  <c r="W89" i="4"/>
  <c r="V21" i="4"/>
  <c r="W53" i="4"/>
  <c r="W15" i="4"/>
  <c r="EF61" i="4" s="1"/>
  <c r="W91" i="4" l="1"/>
  <c r="W111" i="4"/>
  <c r="V45" i="4"/>
  <c r="V89" i="4"/>
  <c r="U21" i="4"/>
  <c r="U45" i="4" s="1"/>
  <c r="V53" i="4"/>
  <c r="V91" i="4" l="1"/>
  <c r="V111" i="4"/>
  <c r="U89" i="4"/>
  <c r="T21" i="4"/>
  <c r="U53" i="4"/>
  <c r="U15" i="4"/>
  <c r="EH61" i="4" s="1"/>
  <c r="T89" i="4" l="1"/>
  <c r="U91" i="4"/>
  <c r="U111" i="4"/>
  <c r="T45" i="4"/>
  <c r="T177" i="4" s="1"/>
  <c r="U177" i="4" s="1"/>
  <c r="V177" i="4" s="1"/>
  <c r="W177" i="4" s="1"/>
  <c r="X177" i="4" s="1"/>
  <c r="Y177" i="4" s="1"/>
  <c r="Z177" i="4" s="1"/>
  <c r="AA177" i="4" s="1"/>
  <c r="AB177" i="4" s="1"/>
  <c r="AC177" i="4" s="1"/>
  <c r="AD177" i="4" s="1"/>
  <c r="AE177" i="4" s="1"/>
  <c r="AF177" i="4" s="1"/>
  <c r="AG177" i="4" s="1"/>
  <c r="AH177" i="4" s="1"/>
  <c r="AI177" i="4" s="1"/>
  <c r="AJ177" i="4" s="1"/>
  <c r="AK177" i="4" s="1"/>
  <c r="AL177" i="4" s="1"/>
  <c r="AM177" i="4" s="1"/>
  <c r="AN177" i="4" s="1"/>
  <c r="AO177" i="4" s="1"/>
  <c r="AP177" i="4" s="1"/>
  <c r="AQ177" i="4" s="1"/>
  <c r="AR177" i="4" s="1"/>
  <c r="AS177" i="4" s="1"/>
  <c r="AT177" i="4" s="1"/>
  <c r="AU177" i="4" s="1"/>
  <c r="AV177" i="4" s="1"/>
  <c r="AW177" i="4" s="1"/>
  <c r="AX177" i="4" s="1"/>
  <c r="AY177" i="4" s="1"/>
  <c r="AZ177" i="4" s="1"/>
  <c r="BA177" i="4" s="1"/>
  <c r="BB177" i="4" s="1"/>
  <c r="BC177" i="4" s="1"/>
  <c r="BD177" i="4" s="1"/>
  <c r="BE177" i="4" s="1"/>
  <c r="BF177" i="4" s="1"/>
  <c r="BG177" i="4" s="1"/>
  <c r="BH177" i="4" s="1"/>
  <c r="BI177" i="4" s="1"/>
  <c r="BJ177" i="4" s="1"/>
  <c r="BK177" i="4" s="1"/>
  <c r="BL177" i="4" s="1"/>
  <c r="BM177" i="4" s="1"/>
  <c r="BN177" i="4" s="1"/>
  <c r="BO177" i="4" s="1"/>
  <c r="Q21" i="4"/>
  <c r="T23" i="4"/>
  <c r="T15" i="4"/>
  <c r="T53" i="4"/>
  <c r="Q53" i="4" s="1"/>
  <c r="Z15" i="4"/>
  <c r="EC61" i="4" s="1"/>
  <c r="P12" i="5" l="1"/>
  <c r="P27" i="7"/>
  <c r="M27" i="7" s="1"/>
  <c r="P27" i="5"/>
  <c r="M27" i="5" s="1"/>
  <c r="Q89" i="4"/>
  <c r="EI61" i="4"/>
  <c r="T91" i="4"/>
  <c r="T161" i="4" s="1"/>
  <c r="T111" i="4"/>
  <c r="V15" i="4"/>
  <c r="T25" i="4"/>
  <c r="T47" i="4" s="1"/>
  <c r="EF55" i="4"/>
  <c r="EI55" i="4"/>
  <c r="EG55" i="4"/>
  <c r="EH55" i="4"/>
  <c r="U23" i="4"/>
  <c r="U19" i="4"/>
  <c r="T19" i="4"/>
  <c r="AA15" i="4"/>
  <c r="U161" i="4" l="1"/>
  <c r="U163" i="4" s="1"/>
  <c r="T179" i="4"/>
  <c r="P29" i="7"/>
  <c r="P29" i="5"/>
  <c r="T49" i="4"/>
  <c r="EH65" i="4"/>
  <c r="T31" i="4"/>
  <c r="P12" i="7"/>
  <c r="P35" i="5"/>
  <c r="T163" i="4"/>
  <c r="V19" i="4"/>
  <c r="W19" i="4"/>
  <c r="EG61" i="4"/>
  <c r="X15" i="4"/>
  <c r="X19" i="4" s="1"/>
  <c r="T95" i="4"/>
  <c r="T103" i="4"/>
  <c r="T83" i="4"/>
  <c r="T87" i="4"/>
  <c r="T79" i="4"/>
  <c r="EI65" i="4"/>
  <c r="T51" i="4"/>
  <c r="U25" i="4"/>
  <c r="U47" i="4" s="1"/>
  <c r="V23" i="4"/>
  <c r="EB61" i="4"/>
  <c r="V161" i="4" l="1"/>
  <c r="U49" i="4"/>
  <c r="EF65" i="4"/>
  <c r="EG65" i="4"/>
  <c r="T33" i="4"/>
  <c r="T27" i="4" s="1"/>
  <c r="T117" i="4"/>
  <c r="T121" i="4" s="1"/>
  <c r="T123" i="4" s="1"/>
  <c r="T173" i="4" s="1"/>
  <c r="U179" i="4"/>
  <c r="Y19" i="4"/>
  <c r="AA19" i="4"/>
  <c r="AB15" i="4"/>
  <c r="Z19" i="4"/>
  <c r="EE61" i="4"/>
  <c r="T107" i="4"/>
  <c r="T101" i="4"/>
  <c r="U95" i="4"/>
  <c r="U103" i="4"/>
  <c r="T97" i="4"/>
  <c r="T93" i="4"/>
  <c r="U83" i="4"/>
  <c r="U87" i="4"/>
  <c r="U31" i="4"/>
  <c r="U51" i="4"/>
  <c r="U79" i="4"/>
  <c r="T69" i="4"/>
  <c r="T73" i="4" s="1"/>
  <c r="T71" i="4"/>
  <c r="T75" i="4" s="1"/>
  <c r="W23" i="4"/>
  <c r="V25" i="4"/>
  <c r="V47" i="4" s="1"/>
  <c r="W161" i="4" l="1"/>
  <c r="W163" i="4" s="1"/>
  <c r="V163" i="4"/>
  <c r="V49" i="4"/>
  <c r="T99" i="4"/>
  <c r="T113" i="4" s="1"/>
  <c r="T165" i="4" s="1"/>
  <c r="X23" i="4"/>
  <c r="X25" i="4" s="1"/>
  <c r="EB65" i="4"/>
  <c r="ED65" i="4"/>
  <c r="U117" i="4"/>
  <c r="U121" i="4" s="1"/>
  <c r="U123" i="4" s="1"/>
  <c r="U173" i="4" s="1"/>
  <c r="EC65" i="4"/>
  <c r="T37" i="4"/>
  <c r="T39" i="4" s="1"/>
  <c r="T29" i="4"/>
  <c r="T213" i="4" s="1"/>
  <c r="T155" i="4"/>
  <c r="T157" i="4" s="1"/>
  <c r="V179" i="4"/>
  <c r="AB19" i="4"/>
  <c r="AC15" i="4"/>
  <c r="AJ15" i="4" s="1"/>
  <c r="DS61" i="4" s="1"/>
  <c r="EA61" i="4"/>
  <c r="W25" i="4"/>
  <c r="W47" i="4" s="1"/>
  <c r="EE65" i="4"/>
  <c r="U107" i="4"/>
  <c r="U97" i="4"/>
  <c r="U33" i="4"/>
  <c r="U27" i="4" s="1"/>
  <c r="V95" i="4"/>
  <c r="V103" i="4"/>
  <c r="U101" i="4"/>
  <c r="U93" i="4"/>
  <c r="V83" i="4"/>
  <c r="V87" i="4"/>
  <c r="V51" i="4"/>
  <c r="V79" i="4"/>
  <c r="U71" i="4"/>
  <c r="U75" i="4" s="1"/>
  <c r="V31" i="4"/>
  <c r="U69" i="4"/>
  <c r="U73" i="4" s="1"/>
  <c r="U175" i="4" l="1"/>
  <c r="X161" i="4"/>
  <c r="Y161" i="4" s="1"/>
  <c r="AE15" i="4"/>
  <c r="DX61" i="4" s="1"/>
  <c r="W49" i="4"/>
  <c r="EA65" i="4"/>
  <c r="U29" i="4"/>
  <c r="U213" i="4" s="1"/>
  <c r="W95" i="4"/>
  <c r="CF19" i="4"/>
  <c r="DF19" i="4"/>
  <c r="BG19" i="4"/>
  <c r="BZ19" i="4"/>
  <c r="DG19" i="4"/>
  <c r="EE19" i="4"/>
  <c r="AR19" i="4"/>
  <c r="BB19" i="4"/>
  <c r="DC19" i="4"/>
  <c r="CN19" i="4"/>
  <c r="AO19" i="4"/>
  <c r="BW19" i="4"/>
  <c r="BQ19" i="4"/>
  <c r="W179" i="4"/>
  <c r="EH19" i="4"/>
  <c r="ED19" i="4"/>
  <c r="DT19" i="4"/>
  <c r="DQ19" i="4"/>
  <c r="BU19" i="4"/>
  <c r="AT19" i="4"/>
  <c r="CU19" i="4"/>
  <c r="AV19" i="4"/>
  <c r="DD19" i="4"/>
  <c r="AM19" i="4"/>
  <c r="EI19" i="4"/>
  <c r="CX19" i="4"/>
  <c r="DX19" i="4"/>
  <c r="AU19" i="4"/>
  <c r="BV19" i="4"/>
  <c r="AH19" i="4"/>
  <c r="DU19" i="4"/>
  <c r="CO19" i="4"/>
  <c r="BD19" i="4"/>
  <c r="CY19" i="4"/>
  <c r="CT19" i="4"/>
  <c r="CR19" i="4"/>
  <c r="EG19" i="4"/>
  <c r="AE19" i="4"/>
  <c r="BP19" i="4"/>
  <c r="CE19" i="4"/>
  <c r="BX19" i="4"/>
  <c r="BH19" i="4"/>
  <c r="CG19" i="4"/>
  <c r="CC19" i="4"/>
  <c r="BL19" i="4"/>
  <c r="AI19" i="4"/>
  <c r="CA19" i="4"/>
  <c r="BI19" i="4"/>
  <c r="DR19" i="4"/>
  <c r="BF19" i="4"/>
  <c r="DO19" i="4"/>
  <c r="CM19" i="4"/>
  <c r="AD19" i="4"/>
  <c r="EA19" i="4"/>
  <c r="DE19" i="4"/>
  <c r="CS19" i="4"/>
  <c r="DP19" i="4"/>
  <c r="BT19" i="4"/>
  <c r="AP19" i="4"/>
  <c r="CI19" i="4"/>
  <c r="Q15" i="4"/>
  <c r="DL19" i="4"/>
  <c r="AX19" i="4"/>
  <c r="T175" i="4"/>
  <c r="DA19" i="4"/>
  <c r="T115" i="4"/>
  <c r="T169" i="4" s="1"/>
  <c r="AS19" i="4"/>
  <c r="CZ19" i="4"/>
  <c r="AY19" i="4"/>
  <c r="BY19" i="4"/>
  <c r="CB19" i="4"/>
  <c r="DJ19" i="4"/>
  <c r="CQ19" i="4"/>
  <c r="DM19" i="4"/>
  <c r="AN19" i="4"/>
  <c r="BK19" i="4"/>
  <c r="AQ19" i="4"/>
  <c r="AZ19" i="4"/>
  <c r="DN19" i="4"/>
  <c r="BE19" i="4"/>
  <c r="EC19" i="4"/>
  <c r="BO19" i="4"/>
  <c r="DY19" i="4"/>
  <c r="CL19" i="4"/>
  <c r="CJ19" i="4"/>
  <c r="AG19" i="4"/>
  <c r="DV19" i="4"/>
  <c r="U155" i="4"/>
  <c r="U157" i="4" s="1"/>
  <c r="CW19" i="4"/>
  <c r="DW19" i="4"/>
  <c r="CP19" i="4"/>
  <c r="BS19" i="4"/>
  <c r="BJ19" i="4"/>
  <c r="BA19" i="4"/>
  <c r="BC19" i="4"/>
  <c r="EF19" i="4"/>
  <c r="DS19" i="4"/>
  <c r="AF19" i="4"/>
  <c r="DZ19" i="4"/>
  <c r="CV19" i="4"/>
  <c r="AJ19" i="4"/>
  <c r="AW19" i="4"/>
  <c r="CH19" i="4"/>
  <c r="EB19" i="4"/>
  <c r="DH19" i="4"/>
  <c r="CD19" i="4"/>
  <c r="BN19" i="4"/>
  <c r="AL19" i="4"/>
  <c r="DK19" i="4"/>
  <c r="U99" i="4"/>
  <c r="DB19" i="4"/>
  <c r="W83" i="4"/>
  <c r="W87" i="4"/>
  <c r="BR19" i="4"/>
  <c r="AK19" i="4"/>
  <c r="W79" i="4"/>
  <c r="W103" i="4"/>
  <c r="DZ61" i="4"/>
  <c r="AC19" i="4"/>
  <c r="W51" i="4"/>
  <c r="X51" i="4" s="1"/>
  <c r="V117" i="4"/>
  <c r="U37" i="4"/>
  <c r="V107" i="4"/>
  <c r="T41" i="4"/>
  <c r="T145" i="4" s="1"/>
  <c r="V101" i="4"/>
  <c r="X95" i="4"/>
  <c r="X103" i="4"/>
  <c r="V97" i="4"/>
  <c r="V93" i="4"/>
  <c r="X83" i="4"/>
  <c r="X87" i="4"/>
  <c r="V71" i="4"/>
  <c r="V75" i="4" s="1"/>
  <c r="X79" i="4"/>
  <c r="W31" i="4"/>
  <c r="V33" i="4"/>
  <c r="V27" i="4" s="1"/>
  <c r="V69" i="4"/>
  <c r="Y23" i="4"/>
  <c r="CK19" i="4" l="1"/>
  <c r="Y163" i="4"/>
  <c r="Z161" i="4"/>
  <c r="AA161" i="4" s="1"/>
  <c r="X163" i="4"/>
  <c r="Q61" i="4"/>
  <c r="BM19" i="4"/>
  <c r="DI19" i="4"/>
  <c r="AT65" i="4" s="1"/>
  <c r="T211" i="4"/>
  <c r="Z23" i="4"/>
  <c r="AA23" i="4" s="1"/>
  <c r="BL65" i="4"/>
  <c r="DE65" i="4"/>
  <c r="AN65" i="4"/>
  <c r="BX65" i="4"/>
  <c r="DH65" i="4"/>
  <c r="Y65" i="4"/>
  <c r="CC65" i="4"/>
  <c r="BY65" i="4"/>
  <c r="DB65" i="4"/>
  <c r="AU65" i="4"/>
  <c r="CS65" i="4"/>
  <c r="AS65" i="4"/>
  <c r="CW65" i="4"/>
  <c r="U65" i="4"/>
  <c r="CP65" i="4"/>
  <c r="DR65" i="4"/>
  <c r="AA65" i="4"/>
  <c r="CJ65" i="4"/>
  <c r="AD65" i="4"/>
  <c r="AK65" i="4"/>
  <c r="DX65" i="4"/>
  <c r="BE65" i="4"/>
  <c r="CO65" i="4"/>
  <c r="BU65" i="4"/>
  <c r="BM65" i="4"/>
  <c r="CN65" i="4"/>
  <c r="CD65" i="4"/>
  <c r="BT65" i="4"/>
  <c r="CT65" i="4"/>
  <c r="V65" i="4"/>
  <c r="T65" i="4"/>
  <c r="CL65" i="4"/>
  <c r="CV65" i="4"/>
  <c r="CK65" i="4"/>
  <c r="DF65" i="4"/>
  <c r="AF65" i="4"/>
  <c r="Z65" i="4"/>
  <c r="DD65" i="4"/>
  <c r="DM65" i="4"/>
  <c r="CB65" i="4"/>
  <c r="BK65" i="4"/>
  <c r="DP65" i="4"/>
  <c r="CF65" i="4"/>
  <c r="AW65" i="4"/>
  <c r="DS65" i="4"/>
  <c r="BF65" i="4"/>
  <c r="CX65" i="4"/>
  <c r="CI65" i="4"/>
  <c r="DT65" i="4"/>
  <c r="BI65" i="4"/>
  <c r="AY65" i="4"/>
  <c r="DN65" i="4"/>
  <c r="BR65" i="4"/>
  <c r="BA65" i="4"/>
  <c r="BG65" i="4"/>
  <c r="AO65" i="4"/>
  <c r="DJ65" i="4"/>
  <c r="AM65" i="4"/>
  <c r="CQ65" i="4"/>
  <c r="BD65" i="4"/>
  <c r="DG65" i="4"/>
  <c r="BW65" i="4"/>
  <c r="BJ65" i="4"/>
  <c r="BZ65" i="4"/>
  <c r="BH65" i="4"/>
  <c r="AZ65" i="4"/>
  <c r="AC65" i="4"/>
  <c r="AG65" i="4"/>
  <c r="DC65" i="4"/>
  <c r="AR65" i="4"/>
  <c r="DV65" i="4"/>
  <c r="DL65" i="4"/>
  <c r="AX65" i="4"/>
  <c r="BV65" i="4"/>
  <c r="BN65" i="4"/>
  <c r="DI65" i="4"/>
  <c r="DA65" i="4"/>
  <c r="DQ65" i="4"/>
  <c r="AJ65" i="4"/>
  <c r="CR65" i="4"/>
  <c r="BB65" i="4"/>
  <c r="AB65" i="4"/>
  <c r="AH65" i="4"/>
  <c r="CH65" i="4"/>
  <c r="W65" i="4"/>
  <c r="BS65" i="4"/>
  <c r="DO65" i="4"/>
  <c r="DY65" i="4"/>
  <c r="CU65" i="4"/>
  <c r="DU65" i="4"/>
  <c r="AL65" i="4"/>
  <c r="X65" i="4"/>
  <c r="CZ65" i="4"/>
  <c r="BQ65" i="4"/>
  <c r="AP65" i="4"/>
  <c r="BP65" i="4"/>
  <c r="CE65" i="4"/>
  <c r="CG65" i="4"/>
  <c r="AI65" i="4"/>
  <c r="AV65" i="4"/>
  <c r="X31" i="4"/>
  <c r="V29" i="4"/>
  <c r="V213" i="4" s="1"/>
  <c r="U39" i="4"/>
  <c r="U41" i="4" s="1"/>
  <c r="U145" i="4" s="1"/>
  <c r="Q62" i="4"/>
  <c r="U113" i="4"/>
  <c r="CY65" i="4"/>
  <c r="BO65" i="4"/>
  <c r="DW65" i="4"/>
  <c r="DK65" i="4"/>
  <c r="DZ65" i="4"/>
  <c r="AQ65" i="4"/>
  <c r="CM65" i="4"/>
  <c r="AE65" i="4"/>
  <c r="CA65" i="4"/>
  <c r="BC65" i="4"/>
  <c r="T147" i="4"/>
  <c r="X179" i="4"/>
  <c r="T167" i="4"/>
  <c r="T159" i="4"/>
  <c r="V99" i="4"/>
  <c r="V113" i="4" s="1"/>
  <c r="W107" i="4"/>
  <c r="X107" i="4" s="1"/>
  <c r="W101" i="4"/>
  <c r="X101" i="4" s="1"/>
  <c r="W69" i="4"/>
  <c r="W73" i="4" s="1"/>
  <c r="W97" i="4"/>
  <c r="X97" i="4" s="1"/>
  <c r="W117" i="4"/>
  <c r="V121" i="4"/>
  <c r="V123" i="4" s="1"/>
  <c r="W93" i="4"/>
  <c r="W71" i="4"/>
  <c r="W75" i="4" s="1"/>
  <c r="V37" i="4"/>
  <c r="W33" i="4"/>
  <c r="V73" i="4"/>
  <c r="Y25" i="4"/>
  <c r="Z163" i="4" l="1"/>
  <c r="V173" i="4"/>
  <c r="U165" i="4"/>
  <c r="U167" i="4" s="1"/>
  <c r="AA163" i="4"/>
  <c r="AB161" i="4"/>
  <c r="AC161" i="4" s="1"/>
  <c r="Q19" i="4"/>
  <c r="Z25" i="4"/>
  <c r="Z95" i="4" s="1"/>
  <c r="U115" i="4"/>
  <c r="U211" i="4"/>
  <c r="W27" i="4"/>
  <c r="Q65" i="4"/>
  <c r="V155" i="4"/>
  <c r="V157" i="4" s="1"/>
  <c r="U147" i="4"/>
  <c r="Y179" i="4"/>
  <c r="T171" i="4"/>
  <c r="W121" i="4"/>
  <c r="W123" i="4" s="1"/>
  <c r="V115" i="4"/>
  <c r="W155" i="4"/>
  <c r="W99" i="4"/>
  <c r="W113" i="4" s="1"/>
  <c r="X69" i="4"/>
  <c r="X73" i="4" s="1"/>
  <c r="X117" i="4"/>
  <c r="X93" i="4"/>
  <c r="X71" i="4"/>
  <c r="X75" i="4" s="1"/>
  <c r="Y95" i="4"/>
  <c r="Y103" i="4"/>
  <c r="Z103" i="4"/>
  <c r="V39" i="4"/>
  <c r="Z87" i="4"/>
  <c r="Y83" i="4"/>
  <c r="Y87" i="4"/>
  <c r="Z83" i="4"/>
  <c r="W37" i="4"/>
  <c r="Y31" i="4"/>
  <c r="X33" i="4"/>
  <c r="Y51" i="4"/>
  <c r="Y79" i="4"/>
  <c r="AA25" i="4"/>
  <c r="AB23" i="4"/>
  <c r="Z79" i="4" l="1"/>
  <c r="AC163" i="4"/>
  <c r="AD161" i="4"/>
  <c r="W173" i="4"/>
  <c r="W175" i="4" s="1"/>
  <c r="V165" i="4"/>
  <c r="W165" i="4" s="1"/>
  <c r="U169" i="4"/>
  <c r="U171" i="4" s="1"/>
  <c r="W157" i="4"/>
  <c r="Q66" i="4"/>
  <c r="AB163" i="4"/>
  <c r="V175" i="4"/>
  <c r="W29" i="4"/>
  <c r="W213" i="4" s="1"/>
  <c r="Z179" i="4"/>
  <c r="X121" i="4"/>
  <c r="X123" i="4" s="1"/>
  <c r="W115" i="4"/>
  <c r="Y117" i="4"/>
  <c r="X155" i="4"/>
  <c r="X99" i="4"/>
  <c r="X113" i="4" s="1"/>
  <c r="Y97" i="4"/>
  <c r="Y107" i="4"/>
  <c r="Y33" i="4"/>
  <c r="V41" i="4"/>
  <c r="V145" i="4" s="1"/>
  <c r="W145" i="4" s="1"/>
  <c r="AA95" i="4"/>
  <c r="AA103" i="4"/>
  <c r="Y101" i="4"/>
  <c r="W39" i="4"/>
  <c r="W41" i="4" s="1"/>
  <c r="AA87" i="4"/>
  <c r="Y69" i="4"/>
  <c r="Y73" i="4" s="1"/>
  <c r="Y93" i="4"/>
  <c r="AA79" i="4"/>
  <c r="AA83" i="4"/>
  <c r="X37" i="4"/>
  <c r="Z31" i="4"/>
  <c r="Z51" i="4"/>
  <c r="Y71" i="4"/>
  <c r="Y75" i="4" s="1"/>
  <c r="AB25" i="4"/>
  <c r="AC23" i="4"/>
  <c r="X173" i="4" l="1"/>
  <c r="X175" i="4" s="1"/>
  <c r="X165" i="4"/>
  <c r="X167" i="4" s="1"/>
  <c r="V169" i="4"/>
  <c r="V167" i="4"/>
  <c r="W167" i="4"/>
  <c r="AD163" i="4"/>
  <c r="AE161" i="4"/>
  <c r="AF161" i="4" s="1"/>
  <c r="X157" i="4"/>
  <c r="V147" i="4"/>
  <c r="V211" i="4"/>
  <c r="W211" i="4" s="1"/>
  <c r="AA179" i="4"/>
  <c r="Z117" i="4"/>
  <c r="Z121" i="4" s="1"/>
  <c r="Z123" i="4" s="1"/>
  <c r="Y121" i="4"/>
  <c r="Y123" i="4" s="1"/>
  <c r="X115" i="4"/>
  <c r="Y155" i="4"/>
  <c r="Y99" i="4"/>
  <c r="Y113" i="4" s="1"/>
  <c r="Y165" i="4" s="1"/>
  <c r="Y37" i="4"/>
  <c r="Z107" i="4"/>
  <c r="AA31" i="4"/>
  <c r="AB31" i="4" s="1"/>
  <c r="Z101" i="4"/>
  <c r="AB95" i="4"/>
  <c r="AB103" i="4"/>
  <c r="X39" i="4"/>
  <c r="X27" i="4" s="1"/>
  <c r="Z69" i="4"/>
  <c r="Z73" i="4" s="1"/>
  <c r="Z97" i="4"/>
  <c r="AB87" i="4"/>
  <c r="Z93" i="4"/>
  <c r="AA51" i="4"/>
  <c r="AB79" i="4"/>
  <c r="AB83" i="4"/>
  <c r="Z33" i="4"/>
  <c r="Z71" i="4"/>
  <c r="Z75" i="4" s="1"/>
  <c r="AC25" i="4"/>
  <c r="AD23" i="4"/>
  <c r="Y173" i="4" l="1"/>
  <c r="Y175" i="4" s="1"/>
  <c r="V171" i="4"/>
  <c r="W169" i="4"/>
  <c r="W171" i="4" s="1"/>
  <c r="AE163" i="4"/>
  <c r="AF163" i="4"/>
  <c r="AG161" i="4"/>
  <c r="Y157" i="4"/>
  <c r="Y167" i="4"/>
  <c r="W147" i="4"/>
  <c r="X29" i="4"/>
  <c r="X47" i="4"/>
  <c r="Y39" i="4"/>
  <c r="Y41" i="4" s="1"/>
  <c r="X41" i="4"/>
  <c r="X145" i="4" s="1"/>
  <c r="AB179" i="4"/>
  <c r="AA117" i="4"/>
  <c r="AA121" i="4" s="1"/>
  <c r="AA123" i="4" s="1"/>
  <c r="Y115" i="4"/>
  <c r="Z155" i="4"/>
  <c r="Z99" i="4"/>
  <c r="Z113" i="4" s="1"/>
  <c r="Z165" i="4" s="1"/>
  <c r="AA107" i="4"/>
  <c r="AA69" i="4"/>
  <c r="AA73" i="4" s="1"/>
  <c r="AA33" i="4"/>
  <c r="AC95" i="4"/>
  <c r="AC103" i="4"/>
  <c r="AA101" i="4"/>
  <c r="AA97" i="4"/>
  <c r="AB51" i="4"/>
  <c r="AC51" i="4" s="1"/>
  <c r="AA93" i="4"/>
  <c r="AC83" i="4"/>
  <c r="AC87" i="4"/>
  <c r="AA71" i="4"/>
  <c r="AA75" i="4" s="1"/>
  <c r="Z37" i="4"/>
  <c r="AC79" i="4"/>
  <c r="AB33" i="4"/>
  <c r="AC31" i="4"/>
  <c r="AD25" i="4"/>
  <c r="AE23" i="4"/>
  <c r="Z173" i="4" l="1"/>
  <c r="Z175" i="4" s="1"/>
  <c r="Y145" i="4"/>
  <c r="X169" i="4"/>
  <c r="X171" i="4" s="1"/>
  <c r="Z167" i="4"/>
  <c r="AH161" i="4"/>
  <c r="AH163" i="4" s="1"/>
  <c r="Z157" i="4"/>
  <c r="AG163" i="4"/>
  <c r="X211" i="4"/>
  <c r="P60" i="9"/>
  <c r="X147" i="4"/>
  <c r="Y27" i="4"/>
  <c r="Y47" i="4" s="1"/>
  <c r="X49" i="4"/>
  <c r="AC179" i="4"/>
  <c r="Z115" i="4"/>
  <c r="AA155" i="4"/>
  <c r="AA99" i="4"/>
  <c r="AA113" i="4" s="1"/>
  <c r="AA165" i="4" s="1"/>
  <c r="AB99" i="4"/>
  <c r="AB117" i="4"/>
  <c r="AB97" i="4"/>
  <c r="AB93" i="4"/>
  <c r="AB107" i="4"/>
  <c r="AC107" i="4" s="1"/>
  <c r="AA37" i="4"/>
  <c r="AB101" i="4"/>
  <c r="AC101" i="4" s="1"/>
  <c r="AB69" i="4"/>
  <c r="AB73" i="4" s="1"/>
  <c r="AD95" i="4"/>
  <c r="AD103" i="4"/>
  <c r="Z39" i="4"/>
  <c r="Z41" i="4" s="1"/>
  <c r="Z145" i="4" s="1"/>
  <c r="AD83" i="4"/>
  <c r="AD87" i="4"/>
  <c r="AB37" i="4"/>
  <c r="AB71" i="4"/>
  <c r="AD51" i="4"/>
  <c r="AD79" i="4"/>
  <c r="AC33" i="4"/>
  <c r="AD31" i="4"/>
  <c r="AE25" i="4"/>
  <c r="AF23" i="4"/>
  <c r="AA173" i="4" l="1"/>
  <c r="AA175" i="4" s="1"/>
  <c r="Y169" i="4"/>
  <c r="Z169" i="4" s="1"/>
  <c r="AI161" i="4"/>
  <c r="AA157" i="4"/>
  <c r="AA167" i="4"/>
  <c r="X213" i="4"/>
  <c r="Y147" i="4"/>
  <c r="Y29" i="4"/>
  <c r="Y211" i="4" s="1"/>
  <c r="Y49" i="4"/>
  <c r="AA39" i="4"/>
  <c r="AA41" i="4" s="1"/>
  <c r="AA145" i="4" s="1"/>
  <c r="Z27" i="4"/>
  <c r="Z47" i="4" s="1"/>
  <c r="AD107" i="4"/>
  <c r="AD179" i="4"/>
  <c r="P32" i="9"/>
  <c r="AA115" i="4"/>
  <c r="AC99" i="4"/>
  <c r="AC117" i="4"/>
  <c r="AB121" i="4"/>
  <c r="AB123" i="4" s="1"/>
  <c r="AB173" i="4" s="1"/>
  <c r="AB113" i="4"/>
  <c r="AB165" i="4" s="1"/>
  <c r="AC93" i="4"/>
  <c r="AD93" i="4" s="1"/>
  <c r="AC97" i="4"/>
  <c r="AC69" i="4"/>
  <c r="AC73" i="4" s="1"/>
  <c r="AD101" i="4"/>
  <c r="AE95" i="4"/>
  <c r="AE103" i="4"/>
  <c r="AB39" i="4"/>
  <c r="AE83" i="4"/>
  <c r="AE87" i="4"/>
  <c r="AB75" i="4"/>
  <c r="AB155" i="4" s="1"/>
  <c r="AC71" i="4"/>
  <c r="AC37" i="4"/>
  <c r="AE51" i="4"/>
  <c r="AE79" i="4"/>
  <c r="AD33" i="4"/>
  <c r="AE31" i="4"/>
  <c r="AF25" i="4"/>
  <c r="AG23" i="4"/>
  <c r="Z171" i="4" l="1"/>
  <c r="Y171" i="4"/>
  <c r="AA169" i="4"/>
  <c r="AA171" i="4" s="1"/>
  <c r="AB175" i="4"/>
  <c r="AJ161" i="4"/>
  <c r="AB157" i="4"/>
  <c r="AB167" i="4"/>
  <c r="AI163" i="4"/>
  <c r="Y213" i="4"/>
  <c r="Z147" i="4"/>
  <c r="Z49" i="4"/>
  <c r="AA27" i="4"/>
  <c r="AA47" i="4" s="1"/>
  <c r="Z29" i="4"/>
  <c r="Z211" i="4" s="1"/>
  <c r="AE179" i="4"/>
  <c r="AC121" i="4"/>
  <c r="AC123" i="4" s="1"/>
  <c r="AC173" i="4" s="1"/>
  <c r="AB115" i="4"/>
  <c r="AD99" i="4"/>
  <c r="AE107" i="4"/>
  <c r="AD117" i="4"/>
  <c r="AD69" i="4"/>
  <c r="AD73" i="4" s="1"/>
  <c r="AC113" i="4"/>
  <c r="AC165" i="4" s="1"/>
  <c r="AD97" i="4"/>
  <c r="AF95" i="4"/>
  <c r="AF103" i="4"/>
  <c r="AE101" i="4"/>
  <c r="AC39" i="4"/>
  <c r="AB41" i="4"/>
  <c r="AB145" i="4" s="1"/>
  <c r="AE93" i="4"/>
  <c r="AF83" i="4"/>
  <c r="AF87" i="4"/>
  <c r="AC75" i="4"/>
  <c r="AC155" i="4" s="1"/>
  <c r="AD71" i="4"/>
  <c r="AD37" i="4"/>
  <c r="AF51" i="4"/>
  <c r="AF79" i="4"/>
  <c r="AE33" i="4"/>
  <c r="AF31" i="4"/>
  <c r="AG25" i="4"/>
  <c r="AH23" i="4"/>
  <c r="AB169" i="4" l="1"/>
  <c r="AB171" i="4" s="1"/>
  <c r="AK161" i="4"/>
  <c r="AC167" i="4"/>
  <c r="AC175" i="4"/>
  <c r="AC157" i="4"/>
  <c r="AJ163" i="4"/>
  <c r="AA147" i="4"/>
  <c r="Z213" i="4"/>
  <c r="AA49" i="4"/>
  <c r="AB27" i="4"/>
  <c r="AB47" i="4" s="1"/>
  <c r="AA29" i="4"/>
  <c r="AA211" i="4" s="1"/>
  <c r="AF179" i="4"/>
  <c r="AC115" i="4"/>
  <c r="AD121" i="4"/>
  <c r="AD123" i="4" s="1"/>
  <c r="AD173" i="4" s="1"/>
  <c r="AE99" i="4"/>
  <c r="AE117" i="4"/>
  <c r="AE69" i="4"/>
  <c r="AE73" i="4" s="1"/>
  <c r="AC41" i="4"/>
  <c r="AC145" i="4" s="1"/>
  <c r="AD113" i="4"/>
  <c r="AD165" i="4" s="1"/>
  <c r="AE97" i="4"/>
  <c r="AF101" i="4"/>
  <c r="AF107" i="4"/>
  <c r="AG95" i="4"/>
  <c r="AG103" i="4"/>
  <c r="AD39" i="4"/>
  <c r="AD41" i="4" s="1"/>
  <c r="AF93" i="4"/>
  <c r="AG83" i="4"/>
  <c r="AG87" i="4"/>
  <c r="AE37" i="4"/>
  <c r="AD75" i="4"/>
  <c r="AD155" i="4" s="1"/>
  <c r="AE71" i="4"/>
  <c r="AG51" i="4"/>
  <c r="AG79" i="4"/>
  <c r="AF33" i="4"/>
  <c r="AG31" i="4"/>
  <c r="AH25" i="4"/>
  <c r="AI23" i="4"/>
  <c r="AC169" i="4" l="1"/>
  <c r="AC171" i="4" s="1"/>
  <c r="AD145" i="4"/>
  <c r="AL161" i="4"/>
  <c r="AD157" i="4"/>
  <c r="AD175" i="4"/>
  <c r="AD167" i="4"/>
  <c r="AK163" i="4"/>
  <c r="AB147" i="4"/>
  <c r="AA213" i="4"/>
  <c r="AB49" i="4"/>
  <c r="AC27" i="4"/>
  <c r="AC47" i="4" s="1"/>
  <c r="AB29" i="4"/>
  <c r="AB211" i="4" s="1"/>
  <c r="AG179" i="4"/>
  <c r="AD115" i="4"/>
  <c r="AE121" i="4"/>
  <c r="AE123" i="4" s="1"/>
  <c r="AE173" i="4" s="1"/>
  <c r="AE175" i="4" s="1"/>
  <c r="AF99" i="4"/>
  <c r="AF69" i="4"/>
  <c r="AF73" i="4" s="1"/>
  <c r="AF117" i="4"/>
  <c r="AE113" i="4"/>
  <c r="AE165" i="4" s="1"/>
  <c r="AF97" i="4"/>
  <c r="AG107" i="4"/>
  <c r="AH95" i="4"/>
  <c r="AH103" i="4"/>
  <c r="AG101" i="4"/>
  <c r="AE39" i="4"/>
  <c r="AG93" i="4"/>
  <c r="AH83" i="4"/>
  <c r="AH87" i="4"/>
  <c r="AE75" i="4"/>
  <c r="AE155" i="4" s="1"/>
  <c r="AF71" i="4"/>
  <c r="AF37" i="4"/>
  <c r="AF39" i="4" s="1"/>
  <c r="AH51" i="4"/>
  <c r="AH79" i="4"/>
  <c r="AG33" i="4"/>
  <c r="AH31" i="4"/>
  <c r="AI25" i="4"/>
  <c r="AJ23" i="4"/>
  <c r="AD169" i="4" l="1"/>
  <c r="AD171" i="4" s="1"/>
  <c r="AM161" i="4"/>
  <c r="AM163" i="4" s="1"/>
  <c r="AE157" i="4"/>
  <c r="P58" i="9" s="1"/>
  <c r="AE167" i="4"/>
  <c r="AL163" i="4"/>
  <c r="AC147" i="4"/>
  <c r="AB213" i="4"/>
  <c r="AC49" i="4"/>
  <c r="AD27" i="4"/>
  <c r="AD47" i="4" s="1"/>
  <c r="AC29" i="4"/>
  <c r="AC211" i="4" s="1"/>
  <c r="AD147" i="4"/>
  <c r="AH179" i="4"/>
  <c r="AE115" i="4"/>
  <c r="AF121" i="4"/>
  <c r="AF123" i="4" s="1"/>
  <c r="AF173" i="4" s="1"/>
  <c r="AG99" i="4"/>
  <c r="AF113" i="4"/>
  <c r="AF165" i="4" s="1"/>
  <c r="AG69" i="4"/>
  <c r="AG73" i="4" s="1"/>
  <c r="AG117" i="4"/>
  <c r="AH101" i="4"/>
  <c r="AG97" i="4"/>
  <c r="AE41" i="4"/>
  <c r="AE145" i="4" s="1"/>
  <c r="AH107" i="4"/>
  <c r="AI95" i="4"/>
  <c r="AI103" i="4"/>
  <c r="AH93" i="4"/>
  <c r="AI83" i="4"/>
  <c r="AI87" i="4"/>
  <c r="AF75" i="4"/>
  <c r="AG71" i="4"/>
  <c r="AG37" i="4"/>
  <c r="AI51" i="4"/>
  <c r="AI79" i="4"/>
  <c r="AH33" i="4"/>
  <c r="AI31" i="4"/>
  <c r="AJ25" i="4"/>
  <c r="AK23" i="4"/>
  <c r="AE169" i="4" l="1"/>
  <c r="AE171" i="4" s="1"/>
  <c r="AF175" i="4"/>
  <c r="AN161" i="4"/>
  <c r="AN163" i="4" s="1"/>
  <c r="AF167" i="4"/>
  <c r="P66" i="9"/>
  <c r="P62" i="9"/>
  <c r="AC213" i="4"/>
  <c r="AD49" i="4"/>
  <c r="AE27" i="4"/>
  <c r="AF27" i="4" s="1"/>
  <c r="AD29" i="4"/>
  <c r="AD211" i="4" s="1"/>
  <c r="AF155" i="4"/>
  <c r="AF157" i="4" s="1"/>
  <c r="AI179" i="4"/>
  <c r="AG121" i="4"/>
  <c r="AG123" i="4" s="1"/>
  <c r="AG173" i="4" s="1"/>
  <c r="AF115" i="4"/>
  <c r="AF169" i="4" s="1"/>
  <c r="AG113" i="4"/>
  <c r="AG165" i="4" s="1"/>
  <c r="AH99" i="4"/>
  <c r="AH117" i="4"/>
  <c r="AH69" i="4"/>
  <c r="AH97" i="4"/>
  <c r="AI107" i="4"/>
  <c r="AF41" i="4"/>
  <c r="AF145" i="4" s="1"/>
  <c r="AI101" i="4"/>
  <c r="AJ95" i="4"/>
  <c r="AJ103" i="4"/>
  <c r="AG39" i="4"/>
  <c r="AG41" i="4" s="1"/>
  <c r="AI93" i="4"/>
  <c r="AJ83" i="4"/>
  <c r="AJ87" i="4"/>
  <c r="AG75" i="4"/>
  <c r="AG155" i="4" s="1"/>
  <c r="AH71" i="4"/>
  <c r="AH37" i="4"/>
  <c r="AJ51" i="4"/>
  <c r="AJ79" i="4"/>
  <c r="AI33" i="4"/>
  <c r="AJ31" i="4"/>
  <c r="AK25" i="4"/>
  <c r="AL23" i="4"/>
  <c r="AG145" i="4" l="1"/>
  <c r="AG157" i="4"/>
  <c r="AG167" i="4"/>
  <c r="AO161" i="4"/>
  <c r="AP161" i="4" s="1"/>
  <c r="AF171" i="4"/>
  <c r="AG175" i="4"/>
  <c r="P64" i="9"/>
  <c r="AE147" i="4"/>
  <c r="P54" i="9"/>
  <c r="AD213" i="4"/>
  <c r="AE47" i="4"/>
  <c r="AE29" i="4"/>
  <c r="AE211" i="4" s="1"/>
  <c r="P28" i="9" s="1"/>
  <c r="AJ179" i="4"/>
  <c r="AG115" i="4"/>
  <c r="AG169" i="4" s="1"/>
  <c r="AH121" i="4"/>
  <c r="AH123" i="4" s="1"/>
  <c r="AH173" i="4" s="1"/>
  <c r="AI99" i="4"/>
  <c r="AH113" i="4"/>
  <c r="AH165" i="4" s="1"/>
  <c r="T55" i="4"/>
  <c r="AH73" i="4"/>
  <c r="AI117" i="4"/>
  <c r="AI69" i="4"/>
  <c r="AI97" i="4"/>
  <c r="AJ107" i="4"/>
  <c r="AJ101" i="4"/>
  <c r="AK95" i="4"/>
  <c r="AK103" i="4"/>
  <c r="AH39" i="4"/>
  <c r="AH41" i="4" s="1"/>
  <c r="AJ93" i="4"/>
  <c r="AK83" i="4"/>
  <c r="AK87" i="4"/>
  <c r="AH75" i="4"/>
  <c r="AI71" i="4"/>
  <c r="AI37" i="4"/>
  <c r="AK51" i="4"/>
  <c r="AK79" i="4"/>
  <c r="AJ33" i="4"/>
  <c r="AK31" i="4"/>
  <c r="AL25" i="4"/>
  <c r="AM23" i="4"/>
  <c r="AH145" i="4" l="1"/>
  <c r="AH147" i="4" s="1"/>
  <c r="AG171" i="4"/>
  <c r="AO163" i="4"/>
  <c r="AH167" i="4"/>
  <c r="AH175" i="4"/>
  <c r="AP163" i="4"/>
  <c r="AQ161" i="4"/>
  <c r="AR161" i="4" s="1"/>
  <c r="AE49" i="4"/>
  <c r="AF47" i="4"/>
  <c r="AG27" i="4"/>
  <c r="AF29" i="4"/>
  <c r="AF211" i="4" s="1"/>
  <c r="AF147" i="4"/>
  <c r="AK179" i="4"/>
  <c r="AI121" i="4"/>
  <c r="AI123" i="4" s="1"/>
  <c r="AI173" i="4" s="1"/>
  <c r="AH115" i="4"/>
  <c r="AH169" i="4" s="1"/>
  <c r="AI113" i="4"/>
  <c r="AI165" i="4" s="1"/>
  <c r="AI167" i="4" s="1"/>
  <c r="AH155" i="4"/>
  <c r="AH157" i="4" s="1"/>
  <c r="U55" i="4"/>
  <c r="T59" i="4"/>
  <c r="T133" i="4" s="1"/>
  <c r="T63" i="4"/>
  <c r="T127" i="4" s="1"/>
  <c r="T67" i="4"/>
  <c r="AI73" i="4"/>
  <c r="AJ117" i="4"/>
  <c r="AJ69" i="4"/>
  <c r="AJ97" i="4"/>
  <c r="AK97" i="4" s="1"/>
  <c r="AK107" i="4"/>
  <c r="AL95" i="4"/>
  <c r="AL103" i="4"/>
  <c r="AK101" i="4"/>
  <c r="AI39" i="4"/>
  <c r="AI41" i="4" s="1"/>
  <c r="AI145" i="4" s="1"/>
  <c r="AJ37" i="4"/>
  <c r="AJ99" i="4"/>
  <c r="AK93" i="4"/>
  <c r="AL83" i="4"/>
  <c r="AL87" i="4"/>
  <c r="AI75" i="4"/>
  <c r="AJ71" i="4"/>
  <c r="AL51" i="4"/>
  <c r="AL79" i="4"/>
  <c r="AK33" i="4"/>
  <c r="AL31" i="4"/>
  <c r="AM25" i="4"/>
  <c r="AN23" i="4"/>
  <c r="AR163" i="4" l="1"/>
  <c r="AS161" i="4"/>
  <c r="AH171" i="4"/>
  <c r="AQ163" i="4"/>
  <c r="AI175" i="4"/>
  <c r="AI147" i="4"/>
  <c r="AE213" i="4"/>
  <c r="P30" i="9" s="1"/>
  <c r="AF49" i="4"/>
  <c r="AG47" i="4"/>
  <c r="AH27" i="4"/>
  <c r="AG29" i="4"/>
  <c r="AG211" i="4" s="1"/>
  <c r="AG147" i="4"/>
  <c r="AL179" i="4"/>
  <c r="AJ121" i="4"/>
  <c r="AJ123" i="4" s="1"/>
  <c r="AJ173" i="4" s="1"/>
  <c r="AJ175" i="4" s="1"/>
  <c r="AI115" i="4"/>
  <c r="AI169" i="4" s="1"/>
  <c r="AI155" i="4"/>
  <c r="AI157" i="4" s="1"/>
  <c r="AK99" i="4"/>
  <c r="AK113" i="4" s="1"/>
  <c r="T125" i="4"/>
  <c r="U59" i="4"/>
  <c r="U133" i="4" s="1"/>
  <c r="U63" i="4"/>
  <c r="U67" i="4"/>
  <c r="U129" i="4" s="1"/>
  <c r="T129" i="4"/>
  <c r="T85" i="4"/>
  <c r="T81" i="4"/>
  <c r="T77" i="4"/>
  <c r="V55" i="4"/>
  <c r="V67" i="4" s="1"/>
  <c r="AJ73" i="4"/>
  <c r="AK117" i="4"/>
  <c r="AK69" i="4"/>
  <c r="AJ113" i="4"/>
  <c r="AJ165" i="4" s="1"/>
  <c r="AL107" i="4"/>
  <c r="AL101" i="4"/>
  <c r="AM95" i="4"/>
  <c r="AM103" i="4"/>
  <c r="AJ39" i="4"/>
  <c r="AL97" i="4"/>
  <c r="AL93" i="4"/>
  <c r="AM83" i="4"/>
  <c r="AM87" i="4"/>
  <c r="AK37" i="4"/>
  <c r="AJ75" i="4"/>
  <c r="AK71" i="4"/>
  <c r="AM51" i="4"/>
  <c r="AM79" i="4"/>
  <c r="AL33" i="4"/>
  <c r="AM31" i="4"/>
  <c r="AN25" i="4"/>
  <c r="AO23" i="4"/>
  <c r="AS163" i="4" l="1"/>
  <c r="AT161" i="4"/>
  <c r="AK165" i="4"/>
  <c r="AK167" i="4" s="1"/>
  <c r="AI171" i="4"/>
  <c r="AJ167" i="4"/>
  <c r="AF213" i="4"/>
  <c r="U127" i="4"/>
  <c r="T219" i="4"/>
  <c r="AG49" i="4"/>
  <c r="AH47" i="4"/>
  <c r="AI27" i="4"/>
  <c r="AH29" i="4"/>
  <c r="AH211" i="4" s="1"/>
  <c r="T209" i="4"/>
  <c r="T205" i="4"/>
  <c r="T207" i="4"/>
  <c r="AM179" i="4"/>
  <c r="AK115" i="4"/>
  <c r="AK121" i="4"/>
  <c r="AK123" i="4" s="1"/>
  <c r="AK173" i="4" s="1"/>
  <c r="AK175" i="4" s="1"/>
  <c r="AJ115" i="4"/>
  <c r="AJ169" i="4" s="1"/>
  <c r="AJ171" i="4" s="1"/>
  <c r="AJ155" i="4"/>
  <c r="AJ157" i="4" s="1"/>
  <c r="AL99" i="4"/>
  <c r="AL113" i="4" s="1"/>
  <c r="T149" i="4"/>
  <c r="T151" i="4" s="1"/>
  <c r="U125" i="4"/>
  <c r="U77" i="4"/>
  <c r="U205" i="4" s="1"/>
  <c r="T135" i="4"/>
  <c r="V129" i="4"/>
  <c r="T131" i="4"/>
  <c r="W55" i="4"/>
  <c r="W59" i="4" s="1"/>
  <c r="V59" i="4"/>
  <c r="V133" i="4" s="1"/>
  <c r="U81" i="4"/>
  <c r="U207" i="4" s="1"/>
  <c r="V63" i="4"/>
  <c r="U85" i="4"/>
  <c r="U209" i="4" s="1"/>
  <c r="AK73" i="4"/>
  <c r="AL117" i="4"/>
  <c r="AL69" i="4"/>
  <c r="AM107" i="4"/>
  <c r="AN95" i="4"/>
  <c r="AN103" i="4"/>
  <c r="AM101" i="4"/>
  <c r="AK39" i="4"/>
  <c r="AJ41" i="4"/>
  <c r="AJ145" i="4" s="1"/>
  <c r="AM97" i="4"/>
  <c r="AM93" i="4"/>
  <c r="AN83" i="4"/>
  <c r="AN87" i="4"/>
  <c r="AL37" i="4"/>
  <c r="AK75" i="4"/>
  <c r="AL71" i="4"/>
  <c r="AN51" i="4"/>
  <c r="X55" i="4" s="1"/>
  <c r="AN79" i="4"/>
  <c r="AM33" i="4"/>
  <c r="AN31" i="4"/>
  <c r="AO25" i="4"/>
  <c r="AP23" i="4"/>
  <c r="AL165" i="4" l="1"/>
  <c r="AL167" i="4" s="1"/>
  <c r="W133" i="4"/>
  <c r="AU161" i="4"/>
  <c r="AU163" i="4" s="1"/>
  <c r="AK169" i="4"/>
  <c r="AT163" i="4"/>
  <c r="U223" i="4"/>
  <c r="U221" i="4"/>
  <c r="AG213" i="4"/>
  <c r="U131" i="4"/>
  <c r="AJ147" i="4"/>
  <c r="U219" i="4"/>
  <c r="AH49" i="4"/>
  <c r="AI47" i="4"/>
  <c r="AJ27" i="4"/>
  <c r="AI29" i="4"/>
  <c r="AI211" i="4" s="1"/>
  <c r="T137" i="4"/>
  <c r="U135" i="4"/>
  <c r="U137" i="4" s="1"/>
  <c r="AN179" i="4"/>
  <c r="AL115" i="4"/>
  <c r="AL121" i="4"/>
  <c r="AL123" i="4" s="1"/>
  <c r="AL173" i="4" s="1"/>
  <c r="AL175" i="4" s="1"/>
  <c r="AK155" i="4"/>
  <c r="AK157" i="4" s="1"/>
  <c r="U159" i="4"/>
  <c r="T153" i="4"/>
  <c r="AM99" i="4"/>
  <c r="AM113" i="4" s="1"/>
  <c r="U149" i="4"/>
  <c r="U151" i="4" s="1"/>
  <c r="V77" i="4"/>
  <c r="V85" i="4"/>
  <c r="V209" i="4" s="1"/>
  <c r="W63" i="4"/>
  <c r="V81" i="4"/>
  <c r="V125" i="4"/>
  <c r="X67" i="4"/>
  <c r="X63" i="4"/>
  <c r="V127" i="4"/>
  <c r="W67" i="4"/>
  <c r="X59" i="4"/>
  <c r="X133" i="4" s="1"/>
  <c r="AL73" i="4"/>
  <c r="AM117" i="4"/>
  <c r="AM69" i="4"/>
  <c r="AK41" i="4"/>
  <c r="AK145" i="4" s="1"/>
  <c r="AN101" i="4"/>
  <c r="AN107" i="4"/>
  <c r="AO95" i="4"/>
  <c r="AO103" i="4"/>
  <c r="AL39" i="4"/>
  <c r="AN97" i="4"/>
  <c r="AN93" i="4"/>
  <c r="AO83" i="4"/>
  <c r="AO87" i="4"/>
  <c r="AM37" i="4"/>
  <c r="AL75" i="4"/>
  <c r="AM71" i="4"/>
  <c r="AO51" i="4"/>
  <c r="AO79" i="4"/>
  <c r="AN33" i="4"/>
  <c r="AO31" i="4"/>
  <c r="AP25" i="4"/>
  <c r="AQ23" i="4"/>
  <c r="AL169" i="4" l="1"/>
  <c r="AL171" i="4" s="1"/>
  <c r="AM165" i="4"/>
  <c r="AM167" i="4" s="1"/>
  <c r="AK171" i="4"/>
  <c r="AV161" i="4"/>
  <c r="T139" i="4"/>
  <c r="U141" i="4"/>
  <c r="T141" i="4"/>
  <c r="T143" i="4" s="1"/>
  <c r="V207" i="4"/>
  <c r="V223" i="4"/>
  <c r="V221" i="4"/>
  <c r="AH213" i="4"/>
  <c r="AK147" i="4"/>
  <c r="V219" i="4"/>
  <c r="Q60" i="9"/>
  <c r="AI49" i="4"/>
  <c r="AJ47" i="4"/>
  <c r="AK27" i="4"/>
  <c r="AJ29" i="4"/>
  <c r="AJ211" i="4" s="1"/>
  <c r="U139" i="4"/>
  <c r="V205" i="4"/>
  <c r="V135" i="4"/>
  <c r="V131" i="4"/>
  <c r="AO179" i="4"/>
  <c r="AM121" i="4"/>
  <c r="AM123" i="4" s="1"/>
  <c r="AM173" i="4" s="1"/>
  <c r="AM115" i="4"/>
  <c r="AM169" i="4" s="1"/>
  <c r="AM171" i="4" s="1"/>
  <c r="AL155" i="4"/>
  <c r="AL157" i="4" s="1"/>
  <c r="V159" i="4"/>
  <c r="U153" i="4"/>
  <c r="W77" i="4"/>
  <c r="V149" i="4"/>
  <c r="V151" i="4" s="1"/>
  <c r="X127" i="4"/>
  <c r="W127" i="4"/>
  <c r="X125" i="4"/>
  <c r="W81" i="4"/>
  <c r="W207" i="4" s="1"/>
  <c r="W125" i="4"/>
  <c r="Y55" i="4"/>
  <c r="W85" i="4"/>
  <c r="X129" i="4"/>
  <c r="W129" i="4"/>
  <c r="AM73" i="4"/>
  <c r="AN117" i="4"/>
  <c r="AN69" i="4"/>
  <c r="AL41" i="4"/>
  <c r="AL145" i="4" s="1"/>
  <c r="AO107" i="4"/>
  <c r="AP95" i="4"/>
  <c r="AP103" i="4"/>
  <c r="AO101" i="4"/>
  <c r="AM39" i="4"/>
  <c r="AN37" i="4"/>
  <c r="AN99" i="4"/>
  <c r="AO97" i="4"/>
  <c r="AO93" i="4"/>
  <c r="AP83" i="4"/>
  <c r="AP87" i="4"/>
  <c r="AM75" i="4"/>
  <c r="AN71" i="4"/>
  <c r="AP51" i="4"/>
  <c r="AP79" i="4"/>
  <c r="AO33" i="4"/>
  <c r="AP31" i="4"/>
  <c r="AQ25" i="4"/>
  <c r="AR23" i="4"/>
  <c r="AW161" i="4" l="1"/>
  <c r="AM175" i="4"/>
  <c r="AV163" i="4"/>
  <c r="W223" i="4"/>
  <c r="W221" i="4"/>
  <c r="AI213" i="4"/>
  <c r="U143" i="4"/>
  <c r="W209" i="4"/>
  <c r="W219" i="4"/>
  <c r="AL147" i="4"/>
  <c r="AJ49" i="4"/>
  <c r="AK47" i="4"/>
  <c r="AL27" i="4"/>
  <c r="AK29" i="4"/>
  <c r="AK211" i="4" s="1"/>
  <c r="V137" i="4"/>
  <c r="X77" i="4"/>
  <c r="X205" i="4" s="1"/>
  <c r="W205" i="4"/>
  <c r="X81" i="4"/>
  <c r="X207" i="4" s="1"/>
  <c r="W135" i="4"/>
  <c r="AP179" i="4"/>
  <c r="Q32" i="9"/>
  <c r="AN121" i="4"/>
  <c r="AN123" i="4" s="1"/>
  <c r="AN173" i="4" s="1"/>
  <c r="AM155" i="4"/>
  <c r="AM157" i="4" s="1"/>
  <c r="X85" i="4"/>
  <c r="V153" i="4"/>
  <c r="AO99" i="4"/>
  <c r="AO113" i="4" s="1"/>
  <c r="W149" i="4"/>
  <c r="W151" i="4" s="1"/>
  <c r="W131" i="4"/>
  <c r="X131" i="4"/>
  <c r="Y67" i="4"/>
  <c r="Y59" i="4"/>
  <c r="Y133" i="4" s="1"/>
  <c r="Y63" i="4"/>
  <c r="Z55" i="4"/>
  <c r="AO117" i="4"/>
  <c r="AN73" i="4"/>
  <c r="AO69" i="4"/>
  <c r="AN113" i="4"/>
  <c r="AM41" i="4"/>
  <c r="AM145" i="4" s="1"/>
  <c r="AP107" i="4"/>
  <c r="AP101" i="4"/>
  <c r="AQ95" i="4"/>
  <c r="AQ103" i="4"/>
  <c r="AN39" i="4"/>
  <c r="AP97" i="4"/>
  <c r="AP93" i="4"/>
  <c r="AQ83" i="4"/>
  <c r="AQ87" i="4"/>
  <c r="AN75" i="4"/>
  <c r="AO71" i="4"/>
  <c r="AO37" i="4"/>
  <c r="AQ51" i="4"/>
  <c r="AA55" i="4" s="1"/>
  <c r="AQ79" i="4"/>
  <c r="AP33" i="4"/>
  <c r="AQ31" i="4"/>
  <c r="AR25" i="4"/>
  <c r="AS23" i="4"/>
  <c r="AX161" i="4" l="1"/>
  <c r="AY161" i="4" s="1"/>
  <c r="AN175" i="4"/>
  <c r="AN165" i="4"/>
  <c r="AW163" i="4"/>
  <c r="W137" i="4"/>
  <c r="W139" i="4" s="1"/>
  <c r="V141" i="4"/>
  <c r="V143" i="4" s="1"/>
  <c r="W141" i="4"/>
  <c r="X223" i="4"/>
  <c r="X221" i="4"/>
  <c r="AJ213" i="4"/>
  <c r="AM147" i="4"/>
  <c r="X209" i="4"/>
  <c r="X219" i="4"/>
  <c r="AK49" i="4"/>
  <c r="AL47" i="4"/>
  <c r="AM27" i="4"/>
  <c r="AL29" i="4"/>
  <c r="AL211" i="4" s="1"/>
  <c r="V139" i="4"/>
  <c r="X149" i="4"/>
  <c r="X151" i="4" s="1"/>
  <c r="X135" i="4"/>
  <c r="X137" i="4" s="1"/>
  <c r="AQ179" i="4"/>
  <c r="AO115" i="4"/>
  <c r="AO121" i="4"/>
  <c r="AO123" i="4" s="1"/>
  <c r="AO173" i="4" s="1"/>
  <c r="AO175" i="4" s="1"/>
  <c r="AN115" i="4"/>
  <c r="AN169" i="4" s="1"/>
  <c r="AN155" i="4"/>
  <c r="AN157" i="4" s="1"/>
  <c r="Y85" i="4"/>
  <c r="AP99" i="4"/>
  <c r="AP113" i="4" s="1"/>
  <c r="Z67" i="4"/>
  <c r="Z129" i="4" s="1"/>
  <c r="AA59" i="4"/>
  <c r="AA67" i="4"/>
  <c r="Y127" i="4"/>
  <c r="Y77" i="4"/>
  <c r="Y205" i="4" s="1"/>
  <c r="Y81" i="4"/>
  <c r="Y207" i="4" s="1"/>
  <c r="Z63" i="4"/>
  <c r="AP117" i="4"/>
  <c r="AA63" i="4"/>
  <c r="Y125" i="4"/>
  <c r="Z59" i="4"/>
  <c r="Z133" i="4" s="1"/>
  <c r="Y129" i="4"/>
  <c r="AO73" i="4"/>
  <c r="AP69" i="4"/>
  <c r="AQ107" i="4"/>
  <c r="AR95" i="4"/>
  <c r="AR103" i="4"/>
  <c r="AQ101" i="4"/>
  <c r="AO39" i="4"/>
  <c r="AN41" i="4"/>
  <c r="AN145" i="4" s="1"/>
  <c r="AQ97" i="4"/>
  <c r="AQ93" i="4"/>
  <c r="AR83" i="4"/>
  <c r="AR87" i="4"/>
  <c r="AP37" i="4"/>
  <c r="AO75" i="4"/>
  <c r="AP71" i="4"/>
  <c r="AR51" i="4"/>
  <c r="AB55" i="4" s="1"/>
  <c r="AR79" i="4"/>
  <c r="AQ33" i="4"/>
  <c r="AR31" i="4"/>
  <c r="AS25" i="4"/>
  <c r="AT23" i="4"/>
  <c r="AA133" i="4" l="1"/>
  <c r="X139" i="4"/>
  <c r="AN171" i="4"/>
  <c r="AY163" i="4"/>
  <c r="AZ161" i="4"/>
  <c r="AO169" i="4"/>
  <c r="AN167" i="4"/>
  <c r="AO165" i="4"/>
  <c r="AP165" i="4" s="1"/>
  <c r="AX163" i="4"/>
  <c r="X141" i="4"/>
  <c r="X143" i="4" s="1"/>
  <c r="Y223" i="4"/>
  <c r="Y221" i="4"/>
  <c r="AK213" i="4"/>
  <c r="Y219" i="4"/>
  <c r="AN147" i="4"/>
  <c r="X153" i="4"/>
  <c r="AL49" i="4"/>
  <c r="AM47" i="4"/>
  <c r="AN27" i="4"/>
  <c r="AM29" i="4"/>
  <c r="AM211" i="4" s="1"/>
  <c r="W143" i="4"/>
  <c r="Y209" i="4"/>
  <c r="Z85" i="4"/>
  <c r="Z209" i="4" s="1"/>
  <c r="Y135" i="4"/>
  <c r="Y137" i="4" s="1"/>
  <c r="AR179" i="4"/>
  <c r="AP121" i="4"/>
  <c r="AP123" i="4" s="1"/>
  <c r="AP173" i="4" s="1"/>
  <c r="AP115" i="4"/>
  <c r="AO155" i="4"/>
  <c r="AO157" i="4" s="1"/>
  <c r="X159" i="4"/>
  <c r="W159" i="4"/>
  <c r="W153" i="4"/>
  <c r="AQ99" i="4"/>
  <c r="AQ113" i="4" s="1"/>
  <c r="Y149" i="4"/>
  <c r="Y151" i="4" s="1"/>
  <c r="Y131" i="4"/>
  <c r="AA129" i="4"/>
  <c r="AA127" i="4"/>
  <c r="AQ117" i="4"/>
  <c r="AA125" i="4"/>
  <c r="Z77" i="4"/>
  <c r="Z205" i="4" s="1"/>
  <c r="Z127" i="4"/>
  <c r="AB63" i="4"/>
  <c r="AB67" i="4"/>
  <c r="AB59" i="4"/>
  <c r="Z125" i="4"/>
  <c r="Z81" i="4"/>
  <c r="Z207" i="4" s="1"/>
  <c r="AP73" i="4"/>
  <c r="AQ69" i="4"/>
  <c r="AO41" i="4"/>
  <c r="AO145" i="4" s="1"/>
  <c r="AR107" i="4"/>
  <c r="AR101" i="4"/>
  <c r="AS95" i="4"/>
  <c r="AS103" i="4"/>
  <c r="AP39" i="4"/>
  <c r="AR97" i="4"/>
  <c r="AR93" i="4"/>
  <c r="AS83" i="4"/>
  <c r="AS87" i="4"/>
  <c r="AP75" i="4"/>
  <c r="AQ71" i="4"/>
  <c r="AQ37" i="4"/>
  <c r="AS51" i="4"/>
  <c r="AS79" i="4"/>
  <c r="AR33" i="4"/>
  <c r="AS31" i="4"/>
  <c r="AT25" i="4"/>
  <c r="AU23" i="4"/>
  <c r="AB133" i="4" l="1"/>
  <c r="AP169" i="4"/>
  <c r="AP171" i="4" s="1"/>
  <c r="AQ165" i="4"/>
  <c r="AQ167" i="4" s="1"/>
  <c r="BA161" i="4"/>
  <c r="BA163" i="4" s="1"/>
  <c r="AP167" i="4"/>
  <c r="AP175" i="4"/>
  <c r="AO167" i="4"/>
  <c r="AZ163" i="4"/>
  <c r="AO171" i="4"/>
  <c r="Y141" i="4"/>
  <c r="Y143" i="4" s="1"/>
  <c r="Z221" i="4"/>
  <c r="Z223" i="4"/>
  <c r="AL213" i="4"/>
  <c r="Z219" i="4"/>
  <c r="AO147" i="4"/>
  <c r="AM49" i="4"/>
  <c r="AN47" i="4"/>
  <c r="AO27" i="4"/>
  <c r="AN29" i="4"/>
  <c r="AN211" i="4" s="1"/>
  <c r="Y139" i="4"/>
  <c r="AA85" i="4"/>
  <c r="AA81" i="4"/>
  <c r="AA207" i="4" s="1"/>
  <c r="Z135" i="4"/>
  <c r="Y153" i="4"/>
  <c r="AS179" i="4"/>
  <c r="AQ115" i="4"/>
  <c r="AQ121" i="4"/>
  <c r="AQ123" i="4" s="1"/>
  <c r="AQ173" i="4" s="1"/>
  <c r="AP155" i="4"/>
  <c r="AP157" i="4" s="1"/>
  <c r="Z159" i="4"/>
  <c r="Y159" i="4"/>
  <c r="AR99" i="4"/>
  <c r="AA77" i="4"/>
  <c r="Z149" i="4"/>
  <c r="Z151" i="4" s="1"/>
  <c r="AR117" i="4"/>
  <c r="AA131" i="4"/>
  <c r="Z131" i="4"/>
  <c r="AB127" i="4"/>
  <c r="AB125" i="4"/>
  <c r="AB129" i="4"/>
  <c r="AC55" i="4"/>
  <c r="AQ73" i="4"/>
  <c r="AR69" i="4"/>
  <c r="AP41" i="4"/>
  <c r="AP145" i="4" s="1"/>
  <c r="AS107" i="4"/>
  <c r="AT95" i="4"/>
  <c r="AT103" i="4"/>
  <c r="AS101" i="4"/>
  <c r="AQ39" i="4"/>
  <c r="AS97" i="4"/>
  <c r="AS93" i="4"/>
  <c r="AT83" i="4"/>
  <c r="AT87" i="4"/>
  <c r="AQ75" i="4"/>
  <c r="AR71" i="4"/>
  <c r="AR37" i="4"/>
  <c r="AT51" i="4"/>
  <c r="AT79" i="4"/>
  <c r="AS33" i="4"/>
  <c r="AT31" i="4"/>
  <c r="AU25" i="4"/>
  <c r="AV23" i="4"/>
  <c r="AQ169" i="4" l="1"/>
  <c r="AQ171" i="4" s="1"/>
  <c r="BB161" i="4"/>
  <c r="BC161" i="4" s="1"/>
  <c r="AQ175" i="4"/>
  <c r="AA221" i="4"/>
  <c r="AA223" i="4"/>
  <c r="AM213" i="4"/>
  <c r="AA209" i="4"/>
  <c r="AA219" i="4"/>
  <c r="AP147" i="4"/>
  <c r="AN49" i="4"/>
  <c r="AO47" i="4"/>
  <c r="AB81" i="4"/>
  <c r="AB207" i="4" s="1"/>
  <c r="AP27" i="4"/>
  <c r="AO29" i="4"/>
  <c r="AO211" i="4" s="1"/>
  <c r="Z137" i="4"/>
  <c r="AB85" i="4"/>
  <c r="AA149" i="4"/>
  <c r="AA151" i="4" s="1"/>
  <c r="AA205" i="4"/>
  <c r="AA135" i="4"/>
  <c r="AA137" i="4" s="1"/>
  <c r="AR113" i="4"/>
  <c r="AR165" i="4" s="1"/>
  <c r="Z153" i="4"/>
  <c r="AT179" i="4"/>
  <c r="AR121" i="4"/>
  <c r="AR123" i="4" s="1"/>
  <c r="AR173" i="4" s="1"/>
  <c r="AB77" i="4"/>
  <c r="AQ155" i="4"/>
  <c r="AQ157" i="4" s="1"/>
  <c r="AA159" i="4"/>
  <c r="AS117" i="4"/>
  <c r="AB131" i="4"/>
  <c r="AC67" i="4"/>
  <c r="AC63" i="4"/>
  <c r="AC59" i="4"/>
  <c r="AC133" i="4" s="1"/>
  <c r="AD55" i="4"/>
  <c r="AD59" i="4" s="1"/>
  <c r="AR73" i="4"/>
  <c r="AS69" i="4"/>
  <c r="AT107" i="4"/>
  <c r="AQ41" i="4"/>
  <c r="AQ145" i="4" s="1"/>
  <c r="AU95" i="4"/>
  <c r="AU103" i="4"/>
  <c r="AT101" i="4"/>
  <c r="AR39" i="4"/>
  <c r="AS37" i="4"/>
  <c r="AS99" i="4"/>
  <c r="AT97" i="4"/>
  <c r="AT93" i="4"/>
  <c r="AU83" i="4"/>
  <c r="AU87" i="4"/>
  <c r="AR75" i="4"/>
  <c r="AS71" i="4"/>
  <c r="AU51" i="4"/>
  <c r="AU79" i="4"/>
  <c r="AT33" i="4"/>
  <c r="AU31" i="4"/>
  <c r="AV25" i="4"/>
  <c r="AW23" i="4"/>
  <c r="AD133" i="4" l="1"/>
  <c r="AR167" i="4"/>
  <c r="AR175" i="4"/>
  <c r="BB163" i="4"/>
  <c r="BC163" i="4"/>
  <c r="BD161" i="4"/>
  <c r="BE161" i="4" s="1"/>
  <c r="AR115" i="4"/>
  <c r="AR169" i="4" s="1"/>
  <c r="AA141" i="4"/>
  <c r="Z141" i="4"/>
  <c r="Z143" i="4" s="1"/>
  <c r="AB223" i="4"/>
  <c r="AB221" i="4"/>
  <c r="AN213" i="4"/>
  <c r="AB209" i="4"/>
  <c r="AB219" i="4"/>
  <c r="AQ147" i="4"/>
  <c r="Q66" i="9"/>
  <c r="Q64" i="9"/>
  <c r="Q62" i="9"/>
  <c r="AO49" i="4"/>
  <c r="AP47" i="4"/>
  <c r="AQ27" i="4"/>
  <c r="AP29" i="4"/>
  <c r="AP211" i="4" s="1"/>
  <c r="AA139" i="4"/>
  <c r="Z139" i="4"/>
  <c r="AB149" i="4"/>
  <c r="AB151" i="4" s="1"/>
  <c r="AB205" i="4"/>
  <c r="AB135" i="4"/>
  <c r="AB137" i="4" s="1"/>
  <c r="AB139" i="4" s="1"/>
  <c r="AA153" i="4"/>
  <c r="AU179" i="4"/>
  <c r="AC77" i="4"/>
  <c r="AC205" i="4" s="1"/>
  <c r="AS121" i="4"/>
  <c r="AS123" i="4" s="1"/>
  <c r="AS173" i="4" s="1"/>
  <c r="AR155" i="4"/>
  <c r="AR157" i="4" s="1"/>
  <c r="AB159" i="4"/>
  <c r="AT99" i="4"/>
  <c r="AT113" i="4" s="1"/>
  <c r="AT117" i="4"/>
  <c r="AC85" i="4"/>
  <c r="AC209" i="4" s="1"/>
  <c r="AD67" i="4"/>
  <c r="AE55" i="4"/>
  <c r="AE63" i="4" s="1"/>
  <c r="AC129" i="4"/>
  <c r="AD63" i="4"/>
  <c r="AC125" i="4"/>
  <c r="AC81" i="4"/>
  <c r="AC207" i="4" s="1"/>
  <c r="AC127" i="4"/>
  <c r="AS73" i="4"/>
  <c r="AT69" i="4"/>
  <c r="AS113" i="4"/>
  <c r="AS165" i="4" s="1"/>
  <c r="AU107" i="4"/>
  <c r="AU101" i="4"/>
  <c r="AR41" i="4"/>
  <c r="AR145" i="4" s="1"/>
  <c r="AV95" i="4"/>
  <c r="AV103" i="4"/>
  <c r="AS39" i="4"/>
  <c r="AU97" i="4"/>
  <c r="AU93" i="4"/>
  <c r="AV83" i="4"/>
  <c r="AV87" i="4"/>
  <c r="AT37" i="4"/>
  <c r="AS75" i="4"/>
  <c r="AT71" i="4"/>
  <c r="AV51" i="4"/>
  <c r="AF55" i="4" s="1"/>
  <c r="AV79" i="4"/>
  <c r="AU33" i="4"/>
  <c r="BP35" i="4"/>
  <c r="BP43" i="4" s="1"/>
  <c r="BP45" i="4" s="1"/>
  <c r="BP177" i="4" s="1"/>
  <c r="AV31" i="4"/>
  <c r="AW25" i="4"/>
  <c r="AX23" i="4"/>
  <c r="AR171" i="4" l="1"/>
  <c r="BD163" i="4"/>
  <c r="AS167" i="4"/>
  <c r="BE163" i="4"/>
  <c r="BF161" i="4"/>
  <c r="AT165" i="4"/>
  <c r="AT167" i="4" s="1"/>
  <c r="AS175" i="4"/>
  <c r="Q58" i="9"/>
  <c r="AB141" i="4"/>
  <c r="AB143" i="4" s="1"/>
  <c r="AC223" i="4"/>
  <c r="AC221" i="4"/>
  <c r="AO213" i="4"/>
  <c r="Q54" i="9"/>
  <c r="AD127" i="4"/>
  <c r="AC219" i="4"/>
  <c r="AR147" i="4"/>
  <c r="AP49" i="4"/>
  <c r="AQ47" i="4"/>
  <c r="AR27" i="4"/>
  <c r="AQ29" i="4"/>
  <c r="AQ211" i="4" s="1"/>
  <c r="Q28" i="9" s="1"/>
  <c r="AA143" i="4"/>
  <c r="AB153" i="4"/>
  <c r="AV179" i="4"/>
  <c r="AS115" i="4"/>
  <c r="AS169" i="4" s="1"/>
  <c r="AT121" i="4"/>
  <c r="AT123" i="4" s="1"/>
  <c r="AT173" i="4" s="1"/>
  <c r="AT115" i="4"/>
  <c r="AS155" i="4"/>
  <c r="AS157" i="4" s="1"/>
  <c r="AC159" i="4"/>
  <c r="AU117" i="4"/>
  <c r="AU99" i="4"/>
  <c r="AU113" i="4" s="1"/>
  <c r="AU165" i="4" s="1"/>
  <c r="AC149" i="4"/>
  <c r="AC151" i="4" s="1"/>
  <c r="AC135" i="4"/>
  <c r="AC137" i="4" s="1"/>
  <c r="AC131" i="4"/>
  <c r="AE127" i="4"/>
  <c r="P19" i="9" s="1"/>
  <c r="AF63" i="4"/>
  <c r="AF67" i="4"/>
  <c r="AE59" i="4"/>
  <c r="AE133" i="4" s="1"/>
  <c r="AD85" i="4"/>
  <c r="AF59" i="4"/>
  <c r="AD81" i="4"/>
  <c r="AD207" i="4" s="1"/>
  <c r="AD129" i="4"/>
  <c r="AE67" i="4"/>
  <c r="AD125" i="4"/>
  <c r="AD77" i="4"/>
  <c r="AD205" i="4" s="1"/>
  <c r="AT73" i="4"/>
  <c r="AU69" i="4"/>
  <c r="BP91" i="4"/>
  <c r="BP111" i="4"/>
  <c r="AV107" i="4"/>
  <c r="AW95" i="4"/>
  <c r="AW103" i="4"/>
  <c r="AV101" i="4"/>
  <c r="AT39" i="4"/>
  <c r="AS41" i="4"/>
  <c r="AS145" i="4" s="1"/>
  <c r="AV97" i="4"/>
  <c r="AV93" i="4"/>
  <c r="AW83" i="4"/>
  <c r="AW87" i="4"/>
  <c r="AT75" i="4"/>
  <c r="AU71" i="4"/>
  <c r="AU37" i="4"/>
  <c r="AW51" i="4"/>
  <c r="AG55" i="4" s="1"/>
  <c r="AW79" i="4"/>
  <c r="AV33" i="4"/>
  <c r="BQ35" i="4"/>
  <c r="BQ43" i="4" s="1"/>
  <c r="BQ45" i="4" s="1"/>
  <c r="BQ177" i="4" s="1"/>
  <c r="AW31" i="4"/>
  <c r="AX25" i="4"/>
  <c r="AY23" i="4"/>
  <c r="AT169" i="4" l="1"/>
  <c r="AT171" i="4" s="1"/>
  <c r="AT175" i="4"/>
  <c r="AF133" i="4"/>
  <c r="AS171" i="4"/>
  <c r="AU167" i="4"/>
  <c r="BF163" i="4"/>
  <c r="BG161" i="4"/>
  <c r="BG163" i="4" s="1"/>
  <c r="AC141" i="4"/>
  <c r="AC143" i="4" s="1"/>
  <c r="AD221" i="4"/>
  <c r="AD223" i="4"/>
  <c r="AP213" i="4"/>
  <c r="AS147" i="4"/>
  <c r="AD209" i="4"/>
  <c r="AD219" i="4"/>
  <c r="AQ49" i="4"/>
  <c r="AR47" i="4"/>
  <c r="AS27" i="4"/>
  <c r="AR29" i="4"/>
  <c r="AR211" i="4" s="1"/>
  <c r="AE81" i="4"/>
  <c r="AE207" i="4" s="1"/>
  <c r="AD135" i="4"/>
  <c r="AD137" i="4" s="1"/>
  <c r="AD139" i="4" s="1"/>
  <c r="AC153" i="4"/>
  <c r="AW179" i="4"/>
  <c r="AU115" i="4"/>
  <c r="AU169" i="4" s="1"/>
  <c r="AU121" i="4"/>
  <c r="AU123" i="4" s="1"/>
  <c r="AU173" i="4" s="1"/>
  <c r="AT155" i="4"/>
  <c r="AT157" i="4" s="1"/>
  <c r="AV117" i="4"/>
  <c r="AW117" i="4" s="1"/>
  <c r="AE85" i="4"/>
  <c r="AE209" i="4" s="1"/>
  <c r="AV99" i="4"/>
  <c r="AV113" i="4" s="1"/>
  <c r="AV165" i="4" s="1"/>
  <c r="AE77" i="4"/>
  <c r="AE205" i="4" s="1"/>
  <c r="AD149" i="4"/>
  <c r="AD151" i="4" s="1"/>
  <c r="AC139" i="4"/>
  <c r="P52" i="9"/>
  <c r="AG59" i="4"/>
  <c r="AE125" i="4"/>
  <c r="P17" i="9" s="1"/>
  <c r="AF125" i="4"/>
  <c r="AG63" i="4"/>
  <c r="AG67" i="4"/>
  <c r="AG129" i="4" s="1"/>
  <c r="AD131" i="4"/>
  <c r="AF127" i="4"/>
  <c r="AF129" i="4"/>
  <c r="AE129" i="4"/>
  <c r="P21" i="9" s="1"/>
  <c r="AU73" i="4"/>
  <c r="AV69" i="4"/>
  <c r="BQ91" i="4"/>
  <c r="BQ111" i="4"/>
  <c r="AW107" i="4"/>
  <c r="AT41" i="4"/>
  <c r="AT145" i="4" s="1"/>
  <c r="AW101" i="4"/>
  <c r="AX95" i="4"/>
  <c r="AX103" i="4"/>
  <c r="AU39" i="4"/>
  <c r="AW97" i="4"/>
  <c r="AW93" i="4"/>
  <c r="AX83" i="4"/>
  <c r="AX87" i="4"/>
  <c r="AU75" i="4"/>
  <c r="AV71" i="4"/>
  <c r="AV37" i="4"/>
  <c r="AX51" i="4"/>
  <c r="AH55" i="4" s="1"/>
  <c r="AX79" i="4"/>
  <c r="AW33" i="4"/>
  <c r="BR35" i="4"/>
  <c r="BR43" i="4" s="1"/>
  <c r="BR45" i="4" s="1"/>
  <c r="BR177" i="4" s="1"/>
  <c r="AX31" i="4"/>
  <c r="AY25" i="4"/>
  <c r="AZ23" i="4"/>
  <c r="AU171" i="4" l="1"/>
  <c r="AV167" i="4"/>
  <c r="BH161" i="4"/>
  <c r="BH163" i="4" s="1"/>
  <c r="AG133" i="4"/>
  <c r="AU175" i="4"/>
  <c r="AD141" i="4"/>
  <c r="AD143" i="4" s="1"/>
  <c r="AE223" i="4"/>
  <c r="AE221" i="4"/>
  <c r="AQ213" i="4"/>
  <c r="Q30" i="9" s="1"/>
  <c r="AT147" i="4"/>
  <c r="AE219" i="4"/>
  <c r="AR49" i="4"/>
  <c r="AS47" i="4"/>
  <c r="AT27" i="4"/>
  <c r="AS29" i="4"/>
  <c r="AS211" i="4" s="1"/>
  <c r="AF81" i="4"/>
  <c r="AF85" i="4"/>
  <c r="AD153" i="4"/>
  <c r="AX179" i="4"/>
  <c r="AV121" i="4"/>
  <c r="AV123" i="4" s="1"/>
  <c r="AV173" i="4" s="1"/>
  <c r="AW121" i="4"/>
  <c r="AW123" i="4" s="1"/>
  <c r="AV115" i="4"/>
  <c r="AV169" i="4" s="1"/>
  <c r="AV171" i="4" s="1"/>
  <c r="AU155" i="4"/>
  <c r="AU157" i="4" s="1"/>
  <c r="AE149" i="4"/>
  <c r="AE151" i="4" s="1"/>
  <c r="AD159" i="4"/>
  <c r="AF77" i="4"/>
  <c r="AW99" i="4"/>
  <c r="AW113" i="4" s="1"/>
  <c r="AW165" i="4" s="1"/>
  <c r="AE135" i="4"/>
  <c r="AE137" i="4" s="1"/>
  <c r="AE141" i="4" s="1"/>
  <c r="AG125" i="4"/>
  <c r="AG127" i="4"/>
  <c r="AF131" i="4"/>
  <c r="AE131" i="4"/>
  <c r="AH63" i="4"/>
  <c r="AH67" i="4"/>
  <c r="AH59" i="4"/>
  <c r="AV73" i="4"/>
  <c r="AW69" i="4"/>
  <c r="AX117" i="4"/>
  <c r="BR91" i="4"/>
  <c r="BR111" i="4"/>
  <c r="AU41" i="4"/>
  <c r="AU145" i="4" s="1"/>
  <c r="AX107" i="4"/>
  <c r="AX101" i="4"/>
  <c r="AY95" i="4"/>
  <c r="AY103" i="4"/>
  <c r="AV39" i="4"/>
  <c r="AV41" i="4" s="1"/>
  <c r="AX97" i="4"/>
  <c r="AX93" i="4"/>
  <c r="AY83" i="4"/>
  <c r="AY87" i="4"/>
  <c r="AV75" i="4"/>
  <c r="AW71" i="4"/>
  <c r="AW37" i="4"/>
  <c r="AY51" i="4"/>
  <c r="AY79" i="4"/>
  <c r="AX33" i="4"/>
  <c r="BS35" i="4"/>
  <c r="BS43" i="4" s="1"/>
  <c r="BS45" i="4" s="1"/>
  <c r="BS177" i="4" s="1"/>
  <c r="AY31" i="4"/>
  <c r="AZ25" i="4"/>
  <c r="BA23" i="4"/>
  <c r="AV145" i="4" l="1"/>
  <c r="AV175" i="4"/>
  <c r="AH133" i="4"/>
  <c r="BI161" i="4"/>
  <c r="BJ161" i="4" s="1"/>
  <c r="AW173" i="4"/>
  <c r="AW175" i="4" s="1"/>
  <c r="AW167" i="4"/>
  <c r="P34" i="9"/>
  <c r="P72" i="9"/>
  <c r="AF223" i="4"/>
  <c r="AF221" i="4"/>
  <c r="AG81" i="4"/>
  <c r="AG207" i="4" s="1"/>
  <c r="AH127" i="4"/>
  <c r="AR213" i="4"/>
  <c r="AG85" i="4"/>
  <c r="AF219" i="4"/>
  <c r="P37" i="7"/>
  <c r="P60" i="5"/>
  <c r="P15" i="9"/>
  <c r="AS49" i="4"/>
  <c r="AT47" i="4"/>
  <c r="AU27" i="4"/>
  <c r="AT29" i="4"/>
  <c r="AT211" i="4" s="1"/>
  <c r="AF209" i="4"/>
  <c r="AF207" i="4"/>
  <c r="AF205" i="4"/>
  <c r="AG135" i="4"/>
  <c r="AG137" i="4" s="1"/>
  <c r="AF135" i="4"/>
  <c r="AG77" i="4"/>
  <c r="AH77" i="4" s="1"/>
  <c r="AH205" i="4" s="1"/>
  <c r="AY179" i="4"/>
  <c r="AX121" i="4"/>
  <c r="AX123" i="4" s="1"/>
  <c r="AW115" i="4"/>
  <c r="AW169" i="4" s="1"/>
  <c r="AF149" i="4"/>
  <c r="AF151" i="4" s="1"/>
  <c r="AV155" i="4"/>
  <c r="AV157" i="4" s="1"/>
  <c r="AE159" i="4"/>
  <c r="AE139" i="4"/>
  <c r="P43" i="9" s="1"/>
  <c r="AX99" i="4"/>
  <c r="AX113" i="4" s="1"/>
  <c r="AX165" i="4" s="1"/>
  <c r="AE143" i="4"/>
  <c r="AG131" i="4"/>
  <c r="AH125" i="4"/>
  <c r="AI55" i="4"/>
  <c r="AH129" i="4"/>
  <c r="AW73" i="4"/>
  <c r="AX69" i="4"/>
  <c r="AY117" i="4"/>
  <c r="BS91" i="4"/>
  <c r="BS111" i="4"/>
  <c r="AY107" i="4"/>
  <c r="AZ95" i="4"/>
  <c r="AZ103" i="4"/>
  <c r="AY101" i="4"/>
  <c r="AW39" i="4"/>
  <c r="AW41" i="4" s="1"/>
  <c r="AW145" i="4" s="1"/>
  <c r="AY97" i="4"/>
  <c r="AY93" i="4"/>
  <c r="AZ83" i="4"/>
  <c r="AZ87" i="4"/>
  <c r="AX37" i="4"/>
  <c r="AW75" i="4"/>
  <c r="AX71" i="4"/>
  <c r="AZ51" i="4"/>
  <c r="AJ55" i="4" s="1"/>
  <c r="AZ79" i="4"/>
  <c r="AY33" i="4"/>
  <c r="BT35" i="4"/>
  <c r="BT43" i="4" s="1"/>
  <c r="BT45" i="4" s="1"/>
  <c r="BT177" i="4" s="1"/>
  <c r="AZ31" i="4"/>
  <c r="BA25" i="4"/>
  <c r="BB23" i="4"/>
  <c r="AX173" i="4" l="1"/>
  <c r="AX175" i="4" s="1"/>
  <c r="BJ163" i="4"/>
  <c r="BK161" i="4"/>
  <c r="AX167" i="4"/>
  <c r="AW171" i="4"/>
  <c r="BI163" i="4"/>
  <c r="AW147" i="4"/>
  <c r="AH81" i="4"/>
  <c r="AH207" i="4" s="1"/>
  <c r="AH85" i="4"/>
  <c r="AH209" i="4" s="1"/>
  <c r="AG223" i="4"/>
  <c r="AG221" i="4"/>
  <c r="AS213" i="4"/>
  <c r="AU147" i="4"/>
  <c r="AG209" i="4"/>
  <c r="AG219" i="4"/>
  <c r="P68" i="9"/>
  <c r="Q46" i="8"/>
  <c r="AE153" i="4"/>
  <c r="P56" i="9"/>
  <c r="P41" i="9"/>
  <c r="AT49" i="4"/>
  <c r="AU47" i="4"/>
  <c r="AV27" i="4"/>
  <c r="AU29" i="4"/>
  <c r="AU211" i="4" s="1"/>
  <c r="AF137" i="4"/>
  <c r="AG149" i="4"/>
  <c r="AG151" i="4" s="1"/>
  <c r="AG205" i="4"/>
  <c r="AH135" i="4"/>
  <c r="AH137" i="4" s="1"/>
  <c r="AF153" i="4"/>
  <c r="AV147" i="4"/>
  <c r="AZ179" i="4"/>
  <c r="AY121" i="4"/>
  <c r="AY123" i="4" s="1"/>
  <c r="AY173" i="4" s="1"/>
  <c r="AX115" i="4"/>
  <c r="AX169" i="4" s="1"/>
  <c r="AW155" i="4"/>
  <c r="AW157" i="4" s="1"/>
  <c r="AF159" i="4"/>
  <c r="AY99" i="4"/>
  <c r="AY113" i="4" s="1"/>
  <c r="AY165" i="4" s="1"/>
  <c r="AI59" i="4"/>
  <c r="AI133" i="4" s="1"/>
  <c r="AI63" i="4"/>
  <c r="AJ67" i="4"/>
  <c r="AI67" i="4"/>
  <c r="AJ59" i="4"/>
  <c r="AJ63" i="4"/>
  <c r="AH131" i="4"/>
  <c r="AX73" i="4"/>
  <c r="AY69" i="4"/>
  <c r="AZ117" i="4"/>
  <c r="BT91" i="4"/>
  <c r="BT111" i="4"/>
  <c r="AZ107" i="4"/>
  <c r="AZ101" i="4"/>
  <c r="BA95" i="4"/>
  <c r="BA103" i="4"/>
  <c r="AX39" i="4"/>
  <c r="AX41" i="4" s="1"/>
  <c r="AX145" i="4" s="1"/>
  <c r="AZ97" i="4"/>
  <c r="AZ93" i="4"/>
  <c r="BA83" i="4"/>
  <c r="BA87" i="4"/>
  <c r="AX75" i="4"/>
  <c r="AY71" i="4"/>
  <c r="AY37" i="4"/>
  <c r="BA51" i="4"/>
  <c r="AK55" i="4" s="1"/>
  <c r="BA79" i="4"/>
  <c r="AZ33" i="4"/>
  <c r="BU35" i="4"/>
  <c r="BU43" i="4" s="1"/>
  <c r="BU45" i="4" s="1"/>
  <c r="BU177" i="4" s="1"/>
  <c r="BA31" i="4"/>
  <c r="BB25" i="4"/>
  <c r="BC23" i="4"/>
  <c r="AJ133" i="4" l="1"/>
  <c r="BL161" i="4"/>
  <c r="AY175" i="4"/>
  <c r="AX171" i="4"/>
  <c r="AY167" i="4"/>
  <c r="BK163" i="4"/>
  <c r="AX147" i="4"/>
  <c r="AH149" i="4"/>
  <c r="AH151" i="4" s="1"/>
  <c r="AH141" i="4"/>
  <c r="AH219" i="4"/>
  <c r="AI223" i="4" s="1"/>
  <c r="AG139" i="4"/>
  <c r="AF141" i="4"/>
  <c r="AF143" i="4" s="1"/>
  <c r="AG141" i="4"/>
  <c r="AH223" i="4"/>
  <c r="AH221" i="4"/>
  <c r="AI85" i="4"/>
  <c r="AJ85" i="4" s="1"/>
  <c r="AJ209" i="4" s="1"/>
  <c r="AT213" i="4"/>
  <c r="R60" i="9"/>
  <c r="AU49" i="4"/>
  <c r="AV47" i="4"/>
  <c r="AH139" i="4"/>
  <c r="AW27" i="4"/>
  <c r="AV29" i="4"/>
  <c r="AV211" i="4" s="1"/>
  <c r="AF139" i="4"/>
  <c r="AG153" i="4"/>
  <c r="BA179" i="4"/>
  <c r="AZ121" i="4"/>
  <c r="AZ123" i="4" s="1"/>
  <c r="AZ173" i="4" s="1"/>
  <c r="AY115" i="4"/>
  <c r="AY169" i="4" s="1"/>
  <c r="AX155" i="4"/>
  <c r="AX157" i="4" s="1"/>
  <c r="AG159" i="4"/>
  <c r="AZ99" i="4"/>
  <c r="AZ113" i="4" s="1"/>
  <c r="AZ165" i="4" s="1"/>
  <c r="AI81" i="4"/>
  <c r="AK59" i="4"/>
  <c r="AK133" i="4" s="1"/>
  <c r="AJ127" i="4"/>
  <c r="AI127" i="4"/>
  <c r="AJ129" i="4"/>
  <c r="AI129" i="4"/>
  <c r="AK63" i="4"/>
  <c r="AI125" i="4"/>
  <c r="AJ125" i="4"/>
  <c r="AK67" i="4"/>
  <c r="AI77" i="4"/>
  <c r="AY73" i="4"/>
  <c r="AZ69" i="4"/>
  <c r="BA117" i="4"/>
  <c r="BU91" i="4"/>
  <c r="BU111" i="4"/>
  <c r="BA107" i="4"/>
  <c r="BA101" i="4"/>
  <c r="BB95" i="4"/>
  <c r="BB103" i="4"/>
  <c r="AY39" i="4"/>
  <c r="AY41" i="4" s="1"/>
  <c r="AY145" i="4" s="1"/>
  <c r="BA97" i="4"/>
  <c r="BA93" i="4"/>
  <c r="BB83" i="4"/>
  <c r="BB87" i="4"/>
  <c r="AZ37" i="4"/>
  <c r="AY75" i="4"/>
  <c r="AZ71" i="4"/>
  <c r="BB51" i="4"/>
  <c r="AL55" i="4" s="1"/>
  <c r="AL67" i="4" s="1"/>
  <c r="BB79" i="4"/>
  <c r="BA33" i="4"/>
  <c r="BV35" i="4"/>
  <c r="BV43" i="4" s="1"/>
  <c r="BV45" i="4" s="1"/>
  <c r="BV177" i="4" s="1"/>
  <c r="BB31" i="4"/>
  <c r="BC25" i="4"/>
  <c r="BD23" i="4"/>
  <c r="BM161" i="4" l="1"/>
  <c r="AZ175" i="4"/>
  <c r="AY171" i="4"/>
  <c r="AZ167" i="4"/>
  <c r="BL163" i="4"/>
  <c r="AI209" i="4"/>
  <c r="AI221" i="4"/>
  <c r="AU213" i="4"/>
  <c r="AK127" i="4"/>
  <c r="AI219" i="4"/>
  <c r="AV49" i="4"/>
  <c r="AW47" i="4"/>
  <c r="AX27" i="4"/>
  <c r="AW29" i="4"/>
  <c r="AW211" i="4" s="1"/>
  <c r="AH143" i="4"/>
  <c r="AG143" i="4"/>
  <c r="AI205" i="4"/>
  <c r="AI207" i="4"/>
  <c r="AJ81" i="4"/>
  <c r="AJ207" i="4" s="1"/>
  <c r="AH153" i="4"/>
  <c r="AY147" i="4"/>
  <c r="BB179" i="4"/>
  <c r="R32" i="9"/>
  <c r="BA121" i="4"/>
  <c r="BA123" i="4" s="1"/>
  <c r="BA173" i="4" s="1"/>
  <c r="AZ115" i="4"/>
  <c r="AZ169" i="4" s="1"/>
  <c r="AY155" i="4"/>
  <c r="AY157" i="4" s="1"/>
  <c r="AH159" i="4"/>
  <c r="BA99" i="4"/>
  <c r="BA113" i="4" s="1"/>
  <c r="BA165" i="4" s="1"/>
  <c r="AJ77" i="4"/>
  <c r="AI149" i="4"/>
  <c r="AI151" i="4" s="1"/>
  <c r="AI135" i="4"/>
  <c r="AL59" i="4"/>
  <c r="AL133" i="4" s="1"/>
  <c r="AK129" i="4"/>
  <c r="AK85" i="4"/>
  <c r="AK209" i="4" s="1"/>
  <c r="AJ131" i="4"/>
  <c r="AL129" i="4"/>
  <c r="AL63" i="4"/>
  <c r="AI131" i="4"/>
  <c r="AK125" i="4"/>
  <c r="AZ73" i="4"/>
  <c r="BA69" i="4"/>
  <c r="BB117" i="4"/>
  <c r="BV91" i="4"/>
  <c r="BV111" i="4"/>
  <c r="BB107" i="4"/>
  <c r="BC95" i="4"/>
  <c r="BC103" i="4"/>
  <c r="BB101" i="4"/>
  <c r="AZ39" i="4"/>
  <c r="AZ41" i="4" s="1"/>
  <c r="AZ145" i="4" s="1"/>
  <c r="BB97" i="4"/>
  <c r="BB93" i="4"/>
  <c r="BC83" i="4"/>
  <c r="BC87" i="4"/>
  <c r="AZ75" i="4"/>
  <c r="BA71" i="4"/>
  <c r="BA37" i="4"/>
  <c r="BC51" i="4"/>
  <c r="AM55" i="4" s="1"/>
  <c r="BC79" i="4"/>
  <c r="BB33" i="4"/>
  <c r="BW35" i="4"/>
  <c r="BW43" i="4" s="1"/>
  <c r="BW45" i="4" s="1"/>
  <c r="BW177" i="4" s="1"/>
  <c r="BC31" i="4"/>
  <c r="BD25" i="4"/>
  <c r="BE23" i="4"/>
  <c r="BN161" i="4" l="1"/>
  <c r="BA175" i="4"/>
  <c r="AZ171" i="4"/>
  <c r="BA167" i="4"/>
  <c r="BM163" i="4"/>
  <c r="AJ223" i="4"/>
  <c r="AJ221" i="4"/>
  <c r="AV213" i="4"/>
  <c r="AJ219" i="4"/>
  <c r="AW49" i="4"/>
  <c r="AX47" i="4"/>
  <c r="AY27" i="4"/>
  <c r="AX29" i="4"/>
  <c r="AX211" i="4" s="1"/>
  <c r="AI137" i="4"/>
  <c r="AK81" i="4"/>
  <c r="AK207" i="4" s="1"/>
  <c r="AJ149" i="4"/>
  <c r="AJ151" i="4" s="1"/>
  <c r="AJ205" i="4"/>
  <c r="AK135" i="4"/>
  <c r="AK137" i="4" s="1"/>
  <c r="AJ135" i="4"/>
  <c r="AJ137" i="4" s="1"/>
  <c r="AZ147" i="4"/>
  <c r="AI153" i="4"/>
  <c r="BC179" i="4"/>
  <c r="BA115" i="4"/>
  <c r="BA169" i="4" s="1"/>
  <c r="BB121" i="4"/>
  <c r="BB123" i="4" s="1"/>
  <c r="BB173" i="4" s="1"/>
  <c r="AZ155" i="4"/>
  <c r="AZ157" i="4" s="1"/>
  <c r="AI159" i="4"/>
  <c r="AK77" i="4"/>
  <c r="BB99" i="4"/>
  <c r="BB113" i="4" s="1"/>
  <c r="BB165" i="4" s="1"/>
  <c r="AK131" i="4"/>
  <c r="AM59" i="4"/>
  <c r="AM133" i="4" s="1"/>
  <c r="AM67" i="4"/>
  <c r="AL85" i="4"/>
  <c r="AL209" i="4" s="1"/>
  <c r="AL127" i="4"/>
  <c r="AM63" i="4"/>
  <c r="AL125" i="4"/>
  <c r="BA73" i="4"/>
  <c r="BB69" i="4"/>
  <c r="BC117" i="4"/>
  <c r="BW91" i="4"/>
  <c r="BW111" i="4"/>
  <c r="BC107" i="4"/>
  <c r="BC101" i="4"/>
  <c r="BD95" i="4"/>
  <c r="BD103" i="4"/>
  <c r="BA39" i="4"/>
  <c r="BA41" i="4" s="1"/>
  <c r="BA145" i="4" s="1"/>
  <c r="BC97" i="4"/>
  <c r="BC93" i="4"/>
  <c r="BD83" i="4"/>
  <c r="BD87" i="4"/>
  <c r="BB37" i="4"/>
  <c r="BA75" i="4"/>
  <c r="BB71" i="4"/>
  <c r="BD51" i="4"/>
  <c r="AN55" i="4" s="1"/>
  <c r="BD79" i="4"/>
  <c r="BC33" i="4"/>
  <c r="BX35" i="4"/>
  <c r="BX43" i="4" s="1"/>
  <c r="BX45" i="4" s="1"/>
  <c r="BX177" i="4" s="1"/>
  <c r="BD31" i="4"/>
  <c r="BE25" i="4"/>
  <c r="BF23" i="4"/>
  <c r="BO161" i="4" l="1"/>
  <c r="BP161" i="4" s="1"/>
  <c r="BB175" i="4"/>
  <c r="BA171" i="4"/>
  <c r="BB167" i="4"/>
  <c r="BN163" i="4"/>
  <c r="AI141" i="4"/>
  <c r="AI143" i="4" s="1"/>
  <c r="AJ141" i="4"/>
  <c r="AK141" i="4"/>
  <c r="AK223" i="4"/>
  <c r="AK221" i="4"/>
  <c r="AK219" i="4"/>
  <c r="AW213" i="4"/>
  <c r="AM127" i="4"/>
  <c r="AI139" i="4"/>
  <c r="AL81" i="4"/>
  <c r="AL207" i="4" s="1"/>
  <c r="AX49" i="4"/>
  <c r="AY47" i="4"/>
  <c r="AZ27" i="4"/>
  <c r="AY29" i="4"/>
  <c r="AY211" i="4" s="1"/>
  <c r="AK139" i="4"/>
  <c r="AJ139" i="4"/>
  <c r="AK149" i="4"/>
  <c r="AK151" i="4" s="1"/>
  <c r="AK205" i="4"/>
  <c r="AL135" i="4"/>
  <c r="AL137" i="4" s="1"/>
  <c r="BA147" i="4"/>
  <c r="AJ153" i="4"/>
  <c r="BD179" i="4"/>
  <c r="BC121" i="4"/>
  <c r="BC123" i="4" s="1"/>
  <c r="BC173" i="4" s="1"/>
  <c r="BB115" i="4"/>
  <c r="BB169" i="4" s="1"/>
  <c r="BA155" i="4"/>
  <c r="BA157" i="4" s="1"/>
  <c r="AJ159" i="4"/>
  <c r="AL77" i="4"/>
  <c r="BC99" i="4"/>
  <c r="BC113" i="4" s="1"/>
  <c r="BC165" i="4" s="1"/>
  <c r="BC167" i="4" s="1"/>
  <c r="AL131" i="4"/>
  <c r="AM125" i="4"/>
  <c r="AN63" i="4"/>
  <c r="AM129" i="4"/>
  <c r="AN59" i="4"/>
  <c r="AN133" i="4" s="1"/>
  <c r="AN67" i="4"/>
  <c r="AM85" i="4"/>
  <c r="AM209" i="4" s="1"/>
  <c r="BB73" i="4"/>
  <c r="BC69" i="4"/>
  <c r="BD117" i="4"/>
  <c r="BX91" i="4"/>
  <c r="BX111" i="4"/>
  <c r="BD107" i="4"/>
  <c r="BE95" i="4"/>
  <c r="BE103" i="4"/>
  <c r="BD101" i="4"/>
  <c r="BB39" i="4"/>
  <c r="BB41" i="4" s="1"/>
  <c r="BB145" i="4" s="1"/>
  <c r="BD97" i="4"/>
  <c r="BD93" i="4"/>
  <c r="BE83" i="4"/>
  <c r="BE87" i="4"/>
  <c r="BB75" i="4"/>
  <c r="BC71" i="4"/>
  <c r="BC37" i="4"/>
  <c r="BE51" i="4"/>
  <c r="AO55" i="4" s="1"/>
  <c r="BE79" i="4"/>
  <c r="BD33" i="4"/>
  <c r="BY35" i="4"/>
  <c r="BY43" i="4" s="1"/>
  <c r="BY45" i="4" s="1"/>
  <c r="BY177" i="4" s="1"/>
  <c r="BE31" i="4"/>
  <c r="BF25" i="4"/>
  <c r="BG23" i="4"/>
  <c r="BP163" i="4" l="1"/>
  <c r="BQ161" i="4"/>
  <c r="BB171" i="4"/>
  <c r="BC175" i="4"/>
  <c r="BO163" i="4"/>
  <c r="AJ143" i="4"/>
  <c r="AM81" i="4"/>
  <c r="AM207" i="4" s="1"/>
  <c r="AL139" i="4"/>
  <c r="AL141" i="4"/>
  <c r="AL143" i="4" s="1"/>
  <c r="AL221" i="4"/>
  <c r="AL223" i="4"/>
  <c r="AX213" i="4"/>
  <c r="AL219" i="4"/>
  <c r="AY49" i="4"/>
  <c r="AZ47" i="4"/>
  <c r="BA27" i="4"/>
  <c r="AZ29" i="4"/>
  <c r="AZ211" i="4" s="1"/>
  <c r="AK143" i="4"/>
  <c r="BB147" i="4"/>
  <c r="AL149" i="4"/>
  <c r="AL151" i="4" s="1"/>
  <c r="AL205" i="4"/>
  <c r="AM135" i="4"/>
  <c r="AM137" i="4" s="1"/>
  <c r="AM141" i="4" s="1"/>
  <c r="BE179" i="4"/>
  <c r="BD121" i="4"/>
  <c r="BD123" i="4" s="1"/>
  <c r="BD173" i="4" s="1"/>
  <c r="BC115" i="4"/>
  <c r="BC169" i="4" s="1"/>
  <c r="AM77" i="4"/>
  <c r="BB155" i="4"/>
  <c r="BB157" i="4" s="1"/>
  <c r="AK159" i="4"/>
  <c r="BD99" i="4"/>
  <c r="AN85" i="4"/>
  <c r="AN209" i="4" s="1"/>
  <c r="AM131" i="4"/>
  <c r="AO63" i="4"/>
  <c r="AO67" i="4"/>
  <c r="AN129" i="4"/>
  <c r="AN125" i="4"/>
  <c r="AN127" i="4"/>
  <c r="AO59" i="4"/>
  <c r="AO133" i="4" s="1"/>
  <c r="BC73" i="4"/>
  <c r="BD69" i="4"/>
  <c r="BE117" i="4"/>
  <c r="BY91" i="4"/>
  <c r="BY111" i="4"/>
  <c r="BE107" i="4"/>
  <c r="BE101" i="4"/>
  <c r="BF95" i="4"/>
  <c r="BF103" i="4"/>
  <c r="BC39" i="4"/>
  <c r="BE97" i="4"/>
  <c r="BE93" i="4"/>
  <c r="BF83" i="4"/>
  <c r="BF87" i="4"/>
  <c r="BD37" i="4"/>
  <c r="BC75" i="4"/>
  <c r="BD71" i="4"/>
  <c r="BF51" i="4"/>
  <c r="BF79" i="4"/>
  <c r="BE33" i="4"/>
  <c r="BZ35" i="4"/>
  <c r="BZ43" i="4" s="1"/>
  <c r="BZ45" i="4" s="1"/>
  <c r="BZ177" i="4" s="1"/>
  <c r="BF31" i="4"/>
  <c r="BG25" i="4"/>
  <c r="BH23" i="4"/>
  <c r="BQ163" i="4" l="1"/>
  <c r="BR161" i="4"/>
  <c r="BC171" i="4"/>
  <c r="BD175" i="4"/>
  <c r="AN81" i="4"/>
  <c r="AN207" i="4" s="1"/>
  <c r="AM219" i="4"/>
  <c r="AN223" i="4" s="1"/>
  <c r="AM221" i="4"/>
  <c r="AM223" i="4"/>
  <c r="AY213" i="4"/>
  <c r="AZ49" i="4"/>
  <c r="BA47" i="4"/>
  <c r="BB27" i="4"/>
  <c r="BA29" i="4"/>
  <c r="BA211" i="4" s="1"/>
  <c r="AL153" i="4"/>
  <c r="AM143" i="4"/>
  <c r="AM149" i="4"/>
  <c r="AM151" i="4" s="1"/>
  <c r="AM205" i="4"/>
  <c r="AM139" i="4"/>
  <c r="AN135" i="4"/>
  <c r="BD113" i="4"/>
  <c r="BD165" i="4" s="1"/>
  <c r="BD167" i="4" s="1"/>
  <c r="AK153" i="4"/>
  <c r="AN77" i="4"/>
  <c r="AN219" i="4" s="1"/>
  <c r="BF179" i="4"/>
  <c r="BE121" i="4"/>
  <c r="BE123" i="4" s="1"/>
  <c r="BE173" i="4" s="1"/>
  <c r="BC155" i="4"/>
  <c r="BC157" i="4" s="1"/>
  <c r="AL159" i="4"/>
  <c r="BE99" i="4"/>
  <c r="BE113" i="4" s="1"/>
  <c r="AO125" i="4"/>
  <c r="AN131" i="4"/>
  <c r="AO127" i="4"/>
  <c r="AO85" i="4"/>
  <c r="AO209" i="4" s="1"/>
  <c r="AO81" i="4"/>
  <c r="AO207" i="4" s="1"/>
  <c r="AO129" i="4"/>
  <c r="AP55" i="4"/>
  <c r="BD73" i="4"/>
  <c r="BE69" i="4"/>
  <c r="BF117" i="4"/>
  <c r="BZ91" i="4"/>
  <c r="BZ111" i="4"/>
  <c r="BC41" i="4"/>
  <c r="BC145" i="4" s="1"/>
  <c r="BD145" i="4" s="1"/>
  <c r="BF107" i="4"/>
  <c r="BF101" i="4"/>
  <c r="BG95" i="4"/>
  <c r="BG103" i="4"/>
  <c r="BD39" i="4"/>
  <c r="BD41" i="4" s="1"/>
  <c r="BF97" i="4"/>
  <c r="BF93" i="4"/>
  <c r="BG83" i="4"/>
  <c r="BG87" i="4"/>
  <c r="BD75" i="4"/>
  <c r="BE71" i="4"/>
  <c r="BE37" i="4"/>
  <c r="BG51" i="4"/>
  <c r="AQ55" i="4" s="1"/>
  <c r="BG79" i="4"/>
  <c r="BF33" i="4"/>
  <c r="CA35" i="4"/>
  <c r="CA43" i="4" s="1"/>
  <c r="CA45" i="4" s="1"/>
  <c r="CA177" i="4" s="1"/>
  <c r="BG31" i="4"/>
  <c r="BH25" i="4"/>
  <c r="BI23" i="4"/>
  <c r="BS161" i="4" l="1"/>
  <c r="BE165" i="4"/>
  <c r="BE167" i="4" s="1"/>
  <c r="BE175" i="4"/>
  <c r="BR163" i="4"/>
  <c r="AN221" i="4"/>
  <c r="AO223" i="4"/>
  <c r="AO221" i="4"/>
  <c r="AZ213" i="4"/>
  <c r="R54" i="9"/>
  <c r="R66" i="9"/>
  <c r="R64" i="9"/>
  <c r="R62" i="9"/>
  <c r="BA49" i="4"/>
  <c r="BB47" i="4"/>
  <c r="BC27" i="4"/>
  <c r="BB29" i="4"/>
  <c r="BB211" i="4" s="1"/>
  <c r="AM153" i="4"/>
  <c r="AN137" i="4"/>
  <c r="AN141" i="4" s="1"/>
  <c r="BD115" i="4"/>
  <c r="AO77" i="4"/>
  <c r="AO205" i="4" s="1"/>
  <c r="AN205" i="4"/>
  <c r="AN149" i="4"/>
  <c r="AN151" i="4" s="1"/>
  <c r="BG179" i="4"/>
  <c r="BF121" i="4"/>
  <c r="BF123" i="4" s="1"/>
  <c r="BF173" i="4" s="1"/>
  <c r="BE115" i="4"/>
  <c r="BD155" i="4"/>
  <c r="BD157" i="4" s="1"/>
  <c r="AO159" i="4"/>
  <c r="AN159" i="4"/>
  <c r="AM159" i="4"/>
  <c r="BF99" i="4"/>
  <c r="AO135" i="4"/>
  <c r="AO137" i="4" s="1"/>
  <c r="AO131" i="4"/>
  <c r="AP63" i="4"/>
  <c r="AQ59" i="4"/>
  <c r="AP59" i="4"/>
  <c r="AP133" i="4" s="1"/>
  <c r="AQ67" i="4"/>
  <c r="AP67" i="4"/>
  <c r="AQ63" i="4"/>
  <c r="BE73" i="4"/>
  <c r="BF69" i="4"/>
  <c r="BG117" i="4"/>
  <c r="CA91" i="4"/>
  <c r="CA111" i="4"/>
  <c r="BG107" i="4"/>
  <c r="BG101" i="4"/>
  <c r="BH95" i="4"/>
  <c r="BH103" i="4"/>
  <c r="BE39" i="4"/>
  <c r="BE41" i="4" s="1"/>
  <c r="BE145" i="4" s="1"/>
  <c r="BG97" i="4"/>
  <c r="BG93" i="4"/>
  <c r="BH83" i="4"/>
  <c r="BH87" i="4"/>
  <c r="BF37" i="4"/>
  <c r="BE75" i="4"/>
  <c r="BF71" i="4"/>
  <c r="BH51" i="4"/>
  <c r="AR55" i="4" s="1"/>
  <c r="BH79" i="4"/>
  <c r="BG33" i="4"/>
  <c r="CB35" i="4"/>
  <c r="CB43" i="4" s="1"/>
  <c r="CB45" i="4" s="1"/>
  <c r="CB177" i="4" s="1"/>
  <c r="BH31" i="4"/>
  <c r="BI25" i="4"/>
  <c r="BJ23" i="4"/>
  <c r="AQ133" i="4" l="1"/>
  <c r="BD169" i="4"/>
  <c r="BE169" i="4" s="1"/>
  <c r="BT161" i="4"/>
  <c r="BT163" i="4" s="1"/>
  <c r="BF175" i="4"/>
  <c r="BS163" i="4"/>
  <c r="AO141" i="4"/>
  <c r="R58" i="9"/>
  <c r="AP81" i="4"/>
  <c r="AP207" i="4" s="1"/>
  <c r="BA213" i="4"/>
  <c r="AO219" i="4"/>
  <c r="BD147" i="4"/>
  <c r="BC147" i="4"/>
  <c r="BB49" i="4"/>
  <c r="BC47" i="4"/>
  <c r="BD27" i="4"/>
  <c r="BC29" i="4"/>
  <c r="BC211" i="4" s="1"/>
  <c r="R28" i="9" s="1"/>
  <c r="AO149" i="4"/>
  <c r="AO151" i="4" s="1"/>
  <c r="AN153" i="4"/>
  <c r="AN139" i="4"/>
  <c r="AN143" i="4"/>
  <c r="BF113" i="4"/>
  <c r="BF165" i="4" s="1"/>
  <c r="BF167" i="4" s="1"/>
  <c r="BH179" i="4"/>
  <c r="BG121" i="4"/>
  <c r="BG123" i="4" s="1"/>
  <c r="BG173" i="4" s="1"/>
  <c r="BE155" i="4"/>
  <c r="BE157" i="4" s="1"/>
  <c r="BG99" i="4"/>
  <c r="BG113" i="4" s="1"/>
  <c r="BG165" i="4" s="1"/>
  <c r="AO139" i="4"/>
  <c r="AP129" i="4"/>
  <c r="AQ129" i="4"/>
  <c r="Q21" i="9" s="1"/>
  <c r="AR63" i="4"/>
  <c r="AP125" i="4"/>
  <c r="AQ125" i="4"/>
  <c r="Q17" i="9" s="1"/>
  <c r="AR59" i="4"/>
  <c r="AR133" i="4" s="1"/>
  <c r="AQ127" i="4"/>
  <c r="Q19" i="9" s="1"/>
  <c r="AP127" i="4"/>
  <c r="AP77" i="4"/>
  <c r="AP205" i="4" s="1"/>
  <c r="AR67" i="4"/>
  <c r="AP85" i="4"/>
  <c r="AP209" i="4" s="1"/>
  <c r="BF73" i="4"/>
  <c r="BG69" i="4"/>
  <c r="BH117" i="4"/>
  <c r="CB91" i="4"/>
  <c r="CB111" i="4"/>
  <c r="BH107" i="4"/>
  <c r="BI95" i="4"/>
  <c r="BI103" i="4"/>
  <c r="BH101" i="4"/>
  <c r="BF39" i="4"/>
  <c r="BH97" i="4"/>
  <c r="BH93" i="4"/>
  <c r="BI83" i="4"/>
  <c r="BI87" i="4"/>
  <c r="BF75" i="4"/>
  <c r="BG71" i="4"/>
  <c r="BG37" i="4"/>
  <c r="BI51" i="4"/>
  <c r="AS55" i="4" s="1"/>
  <c r="BI79" i="4"/>
  <c r="BH33" i="4"/>
  <c r="CC35" i="4"/>
  <c r="CC43" i="4" s="1"/>
  <c r="CC45" i="4" s="1"/>
  <c r="CC177" i="4" s="1"/>
  <c r="BI31" i="4"/>
  <c r="BJ25" i="4"/>
  <c r="BK23" i="4"/>
  <c r="BE171" i="4" l="1"/>
  <c r="BG167" i="4"/>
  <c r="BU161" i="4"/>
  <c r="BU163" i="4" s="1"/>
  <c r="BG175" i="4"/>
  <c r="BD171" i="4"/>
  <c r="AQ81" i="4"/>
  <c r="AQ207" i="4" s="1"/>
  <c r="AP221" i="4"/>
  <c r="AP223" i="4"/>
  <c r="BB213" i="4"/>
  <c r="BE147" i="4"/>
  <c r="AP219" i="4"/>
  <c r="BC49" i="4"/>
  <c r="BD47" i="4"/>
  <c r="BE27" i="4"/>
  <c r="BD29" i="4"/>
  <c r="BD211" i="4" s="1"/>
  <c r="AO143" i="4"/>
  <c r="AO153" i="4"/>
  <c r="BF115" i="4"/>
  <c r="BF169" i="4" s="1"/>
  <c r="Q52" i="9"/>
  <c r="BI179" i="4"/>
  <c r="BG115" i="4"/>
  <c r="BH121" i="4"/>
  <c r="BH123" i="4" s="1"/>
  <c r="BH173" i="4" s="1"/>
  <c r="BF155" i="4"/>
  <c r="BF157" i="4" s="1"/>
  <c r="AQ85" i="4"/>
  <c r="BH99" i="4"/>
  <c r="AQ77" i="4"/>
  <c r="AQ205" i="4" s="1"/>
  <c r="AP149" i="4"/>
  <c r="AP151" i="4" s="1"/>
  <c r="AP135" i="4"/>
  <c r="AP137" i="4" s="1"/>
  <c r="AP141" i="4" s="1"/>
  <c r="AR125" i="4"/>
  <c r="AP131" i="4"/>
  <c r="AR127" i="4"/>
  <c r="AR81" i="4"/>
  <c r="AS67" i="4"/>
  <c r="AS59" i="4"/>
  <c r="AS133" i="4" s="1"/>
  <c r="AS63" i="4"/>
  <c r="AR129" i="4"/>
  <c r="AQ131" i="4"/>
  <c r="BG73" i="4"/>
  <c r="BH69" i="4"/>
  <c r="BI117" i="4"/>
  <c r="CC91" i="4"/>
  <c r="CC111" i="4"/>
  <c r="BF41" i="4"/>
  <c r="BF145" i="4" s="1"/>
  <c r="BI107" i="4"/>
  <c r="BI101" i="4"/>
  <c r="BJ95" i="4"/>
  <c r="BJ103" i="4"/>
  <c r="BG39" i="4"/>
  <c r="BI97" i="4"/>
  <c r="BI93" i="4"/>
  <c r="BJ83" i="4"/>
  <c r="BJ87" i="4"/>
  <c r="BH37" i="4"/>
  <c r="BG75" i="4"/>
  <c r="BH71" i="4"/>
  <c r="BJ51" i="4"/>
  <c r="AT55" i="4" s="1"/>
  <c r="BJ79" i="4"/>
  <c r="BI33" i="4"/>
  <c r="CD35" i="4"/>
  <c r="CD43" i="4" s="1"/>
  <c r="CD45" i="4" s="1"/>
  <c r="CD177" i="4" s="1"/>
  <c r="BJ31" i="4"/>
  <c r="BK25" i="4"/>
  <c r="BL23" i="4"/>
  <c r="BG169" i="4" l="1"/>
  <c r="BG171" i="4" s="1"/>
  <c r="BH175" i="4"/>
  <c r="BV161" i="4"/>
  <c r="BW161" i="4" s="1"/>
  <c r="BF171" i="4"/>
  <c r="AQ223" i="4"/>
  <c r="AQ221" i="4"/>
  <c r="BC213" i="4"/>
  <c r="R30" i="9" s="1"/>
  <c r="AQ209" i="4"/>
  <c r="AQ219" i="4"/>
  <c r="Q60" i="5"/>
  <c r="Q37" i="7"/>
  <c r="Q15" i="9"/>
  <c r="BD49" i="4"/>
  <c r="BE47" i="4"/>
  <c r="BF27" i="4"/>
  <c r="BE29" i="4"/>
  <c r="BE211" i="4" s="1"/>
  <c r="AR207" i="4"/>
  <c r="AR85" i="4"/>
  <c r="AQ135" i="4"/>
  <c r="AQ137" i="4" s="1"/>
  <c r="BH113" i="4"/>
  <c r="AP153" i="4"/>
  <c r="BF147" i="4"/>
  <c r="BJ179" i="4"/>
  <c r="BI121" i="4"/>
  <c r="BI123" i="4" s="1"/>
  <c r="BI173" i="4" s="1"/>
  <c r="AQ149" i="4"/>
  <c r="AQ151" i="4" s="1"/>
  <c r="BG155" i="4"/>
  <c r="BG157" i="4" s="1"/>
  <c r="AP159" i="4"/>
  <c r="AR77" i="4"/>
  <c r="BI99" i="4"/>
  <c r="BI113" i="4" s="1"/>
  <c r="AP139" i="4"/>
  <c r="AP143" i="4"/>
  <c r="AR131" i="4"/>
  <c r="AS81" i="4"/>
  <c r="AS207" i="4" s="1"/>
  <c r="AS125" i="4"/>
  <c r="AS129" i="4"/>
  <c r="AT67" i="4"/>
  <c r="AS127" i="4"/>
  <c r="AT59" i="4"/>
  <c r="AT133" i="4" s="1"/>
  <c r="AT63" i="4"/>
  <c r="BH73" i="4"/>
  <c r="BI69" i="4"/>
  <c r="BJ117" i="4"/>
  <c r="CD91" i="4"/>
  <c r="CD111" i="4"/>
  <c r="BG41" i="4"/>
  <c r="BG145" i="4" s="1"/>
  <c r="BJ107" i="4"/>
  <c r="BJ101" i="4"/>
  <c r="BK95" i="4"/>
  <c r="BK103" i="4"/>
  <c r="BH39" i="4"/>
  <c r="BH41" i="4" s="1"/>
  <c r="BJ97" i="4"/>
  <c r="BJ93" i="4"/>
  <c r="BK83" i="4"/>
  <c r="BK87" i="4"/>
  <c r="BH75" i="4"/>
  <c r="BI71" i="4"/>
  <c r="BI37" i="4"/>
  <c r="BK51" i="4"/>
  <c r="AU55" i="4" s="1"/>
  <c r="AU63" i="4" s="1"/>
  <c r="BK79" i="4"/>
  <c r="BJ33" i="4"/>
  <c r="CE35" i="4"/>
  <c r="CE43" i="4" s="1"/>
  <c r="CE45" i="4" s="1"/>
  <c r="CE177" i="4" s="1"/>
  <c r="BK31" i="4"/>
  <c r="BL25" i="4"/>
  <c r="BM23" i="4"/>
  <c r="BH145" i="4" l="1"/>
  <c r="BH165" i="4"/>
  <c r="BH167" i="4" s="1"/>
  <c r="BW163" i="4"/>
  <c r="BX161" i="4"/>
  <c r="BX163" i="4" s="1"/>
  <c r="BI175" i="4"/>
  <c r="BV163" i="4"/>
  <c r="AQ139" i="4"/>
  <c r="Q43" i="9" s="1"/>
  <c r="AQ141" i="4"/>
  <c r="AQ143" i="4" s="1"/>
  <c r="Q34" i="9"/>
  <c r="Q72" i="9"/>
  <c r="AR223" i="4"/>
  <c r="AR221" i="4"/>
  <c r="BD213" i="4"/>
  <c r="AR219" i="4"/>
  <c r="Q68" i="9"/>
  <c r="R46" i="8"/>
  <c r="AR135" i="4"/>
  <c r="BE49" i="4"/>
  <c r="BF47" i="4"/>
  <c r="BG27" i="4"/>
  <c r="BF29" i="4"/>
  <c r="BF211" i="4" s="1"/>
  <c r="AR209" i="4"/>
  <c r="AS85" i="4"/>
  <c r="AR205" i="4"/>
  <c r="BH115" i="4"/>
  <c r="AS135" i="4"/>
  <c r="AS137" i="4" s="1"/>
  <c r="AT129" i="4"/>
  <c r="AR149" i="4"/>
  <c r="AR151" i="4" s="1"/>
  <c r="BK179" i="4"/>
  <c r="BJ121" i="4"/>
  <c r="BJ123" i="4" s="1"/>
  <c r="BJ173" i="4" s="1"/>
  <c r="BI115" i="4"/>
  <c r="AS77" i="4"/>
  <c r="BH155" i="4"/>
  <c r="BH157" i="4" s="1"/>
  <c r="AQ159" i="4"/>
  <c r="BJ99" i="4"/>
  <c r="BJ113" i="4" s="1"/>
  <c r="AT125" i="4"/>
  <c r="AS131" i="4"/>
  <c r="AT81" i="4"/>
  <c r="AT207" i="4" s="1"/>
  <c r="AU59" i="4"/>
  <c r="AU133" i="4" s="1"/>
  <c r="AU127" i="4"/>
  <c r="AT127" i="4"/>
  <c r="AU67" i="4"/>
  <c r="BI73" i="4"/>
  <c r="BJ69" i="4"/>
  <c r="BK117" i="4"/>
  <c r="CE91" i="4"/>
  <c r="CE111" i="4"/>
  <c r="BK107" i="4"/>
  <c r="BK101" i="4"/>
  <c r="BL95" i="4"/>
  <c r="BL103" i="4"/>
  <c r="BI39" i="4"/>
  <c r="BI41" i="4" s="1"/>
  <c r="BK97" i="4"/>
  <c r="BK93" i="4"/>
  <c r="BL83" i="4"/>
  <c r="BL87" i="4"/>
  <c r="BJ37" i="4"/>
  <c r="BI75" i="4"/>
  <c r="BJ71" i="4"/>
  <c r="BL51" i="4"/>
  <c r="AV55" i="4" s="1"/>
  <c r="BL79" i="4"/>
  <c r="BK33" i="4"/>
  <c r="CF35" i="4"/>
  <c r="CF43" i="4" s="1"/>
  <c r="CF45" i="4" s="1"/>
  <c r="CF177" i="4" s="1"/>
  <c r="BL31" i="4"/>
  <c r="BM25" i="4"/>
  <c r="BN23" i="4"/>
  <c r="BI145" i="4" l="1"/>
  <c r="BI165" i="4"/>
  <c r="BJ165" i="4" s="1"/>
  <c r="BJ175" i="4"/>
  <c r="BH169" i="4"/>
  <c r="BH171" i="4" s="1"/>
  <c r="BY161" i="4"/>
  <c r="BZ161" i="4" s="1"/>
  <c r="AR137" i="4"/>
  <c r="AS141" i="4" s="1"/>
  <c r="Q41" i="9"/>
  <c r="AS223" i="4"/>
  <c r="AS221" i="4"/>
  <c r="BE213" i="4"/>
  <c r="AS209" i="4"/>
  <c r="AS219" i="4"/>
  <c r="S60" i="9"/>
  <c r="Q56" i="9"/>
  <c r="AT85" i="4"/>
  <c r="BF49" i="4"/>
  <c r="BG47" i="4"/>
  <c r="BH27" i="4"/>
  <c r="BG29" i="4"/>
  <c r="BG211" i="4" s="1"/>
  <c r="AR153" i="4"/>
  <c r="AU81" i="4"/>
  <c r="AU207" i="4" s="1"/>
  <c r="AT77" i="4"/>
  <c r="AT205" i="4" s="1"/>
  <c r="AS205" i="4"/>
  <c r="AT135" i="4"/>
  <c r="AQ153" i="4"/>
  <c r="BH147" i="4"/>
  <c r="BG147" i="4"/>
  <c r="BL179" i="4"/>
  <c r="BK121" i="4"/>
  <c r="BK123" i="4" s="1"/>
  <c r="BK173" i="4" s="1"/>
  <c r="AS149" i="4"/>
  <c r="AS151" i="4" s="1"/>
  <c r="BJ115" i="4"/>
  <c r="BI155" i="4"/>
  <c r="BI157" i="4" s="1"/>
  <c r="BK99" i="4"/>
  <c r="BK113" i="4" s="1"/>
  <c r="AU125" i="4"/>
  <c r="AT131" i="4"/>
  <c r="AV59" i="4"/>
  <c r="AV133" i="4" s="1"/>
  <c r="AV63" i="4"/>
  <c r="AU129" i="4"/>
  <c r="AV67" i="4"/>
  <c r="BJ73" i="4"/>
  <c r="BK69" i="4"/>
  <c r="BL117" i="4"/>
  <c r="CF91" i="4"/>
  <c r="CF111" i="4"/>
  <c r="BL107" i="4"/>
  <c r="BM95" i="4"/>
  <c r="BM103" i="4"/>
  <c r="BL101" i="4"/>
  <c r="BJ39" i="4"/>
  <c r="BJ41" i="4" s="1"/>
  <c r="BJ145" i="4" s="1"/>
  <c r="BL97" i="4"/>
  <c r="BL93" i="4"/>
  <c r="BM83" i="4"/>
  <c r="BM87" i="4"/>
  <c r="BK37" i="4"/>
  <c r="BJ75" i="4"/>
  <c r="BK71" i="4"/>
  <c r="BM51" i="4"/>
  <c r="BM79" i="4"/>
  <c r="BL33" i="4"/>
  <c r="CG35" i="4"/>
  <c r="CG43" i="4" s="1"/>
  <c r="CG45" i="4" s="1"/>
  <c r="CG177" i="4" s="1"/>
  <c r="BM31" i="4"/>
  <c r="BN25" i="4"/>
  <c r="BO23" i="4"/>
  <c r="BI167" i="4" l="1"/>
  <c r="BK165" i="4"/>
  <c r="BK167" i="4" s="1"/>
  <c r="AS139" i="4"/>
  <c r="AR139" i="4"/>
  <c r="BJ167" i="4"/>
  <c r="BI169" i="4"/>
  <c r="BI171" i="4" s="1"/>
  <c r="BY163" i="4"/>
  <c r="BK175" i="4"/>
  <c r="BZ163" i="4"/>
  <c r="CA161" i="4"/>
  <c r="BJ147" i="4"/>
  <c r="AR141" i="4"/>
  <c r="AR143" i="4" s="1"/>
  <c r="AT223" i="4"/>
  <c r="AT221" i="4"/>
  <c r="BF213" i="4"/>
  <c r="AT209" i="4"/>
  <c r="AT219" i="4"/>
  <c r="AU85" i="4"/>
  <c r="AV85" i="4" s="1"/>
  <c r="AV209" i="4" s="1"/>
  <c r="BG49" i="4"/>
  <c r="BH47" i="4"/>
  <c r="BI27" i="4"/>
  <c r="BH29" i="4"/>
  <c r="BH211" i="4" s="1"/>
  <c r="AT137" i="4"/>
  <c r="AT141" i="4" s="1"/>
  <c r="AT149" i="4"/>
  <c r="AT151" i="4" s="1"/>
  <c r="AU77" i="4"/>
  <c r="AV129" i="4"/>
  <c r="AS153" i="4"/>
  <c r="BI147" i="4"/>
  <c r="BM179" i="4"/>
  <c r="BL121" i="4"/>
  <c r="BL123" i="4" s="1"/>
  <c r="BL173" i="4" s="1"/>
  <c r="BK115" i="4"/>
  <c r="BJ155" i="4"/>
  <c r="BJ157" i="4" s="1"/>
  <c r="AR159" i="4"/>
  <c r="BL99" i="4"/>
  <c r="BL113" i="4" s="1"/>
  <c r="BL165" i="4" s="1"/>
  <c r="AU131" i="4"/>
  <c r="AU135" i="4"/>
  <c r="AV127" i="4"/>
  <c r="AV125" i="4"/>
  <c r="AV81" i="4"/>
  <c r="AW55" i="4"/>
  <c r="BK73" i="4"/>
  <c r="BL69" i="4"/>
  <c r="BM117" i="4"/>
  <c r="CG91" i="4"/>
  <c r="CG111" i="4"/>
  <c r="BM107" i="4"/>
  <c r="BM101" i="4"/>
  <c r="BN95" i="4"/>
  <c r="BN103" i="4"/>
  <c r="BK39" i="4"/>
  <c r="BK41" i="4" s="1"/>
  <c r="BK145" i="4" s="1"/>
  <c r="BM97" i="4"/>
  <c r="BM93" i="4"/>
  <c r="BN83" i="4"/>
  <c r="BN87" i="4"/>
  <c r="BK75" i="4"/>
  <c r="BL71" i="4"/>
  <c r="BL75" i="4" s="1"/>
  <c r="BL37" i="4"/>
  <c r="BN51" i="4"/>
  <c r="AX55" i="4" s="1"/>
  <c r="BN79" i="4"/>
  <c r="BM33" i="4"/>
  <c r="CH35" i="4"/>
  <c r="CH43" i="4" s="1"/>
  <c r="CH45" i="4" s="1"/>
  <c r="CH177" i="4" s="1"/>
  <c r="BN31" i="4"/>
  <c r="BO25" i="4"/>
  <c r="BP23" i="4"/>
  <c r="BJ169" i="4" l="1"/>
  <c r="BJ171" i="4" s="1"/>
  <c r="CA163" i="4"/>
  <c r="CB161" i="4"/>
  <c r="BL175" i="4"/>
  <c r="BL167" i="4"/>
  <c r="BK147" i="4"/>
  <c r="AS143" i="4"/>
  <c r="AU223" i="4"/>
  <c r="AU221" i="4"/>
  <c r="AU205" i="4"/>
  <c r="BG213" i="4"/>
  <c r="AU209" i="4"/>
  <c r="AU219" i="4"/>
  <c r="BH49" i="4"/>
  <c r="BI47" i="4"/>
  <c r="BJ27" i="4"/>
  <c r="BI29" i="4"/>
  <c r="BI211" i="4" s="1"/>
  <c r="AU149" i="4"/>
  <c r="AU151" i="4" s="1"/>
  <c r="AV77" i="4"/>
  <c r="AV205" i="4" s="1"/>
  <c r="AU137" i="4"/>
  <c r="AT143" i="4"/>
  <c r="AT139" i="4"/>
  <c r="AV207" i="4"/>
  <c r="AV135" i="4"/>
  <c r="AV137" i="4" s="1"/>
  <c r="AT153" i="4"/>
  <c r="BN179" i="4"/>
  <c r="S32" i="9"/>
  <c r="BM121" i="4"/>
  <c r="BM123" i="4" s="1"/>
  <c r="BM173" i="4" s="1"/>
  <c r="BL115" i="4"/>
  <c r="BK155" i="4"/>
  <c r="BK157" i="4" s="1"/>
  <c r="AU159" i="4"/>
  <c r="AT159" i="4"/>
  <c r="AS159" i="4"/>
  <c r="BM99" i="4"/>
  <c r="BM113" i="4" s="1"/>
  <c r="BM165" i="4" s="1"/>
  <c r="AV131" i="4"/>
  <c r="AX59" i="4"/>
  <c r="AW67" i="4"/>
  <c r="AW63" i="4"/>
  <c r="AW59" i="4"/>
  <c r="AW133" i="4" s="1"/>
  <c r="AX67" i="4"/>
  <c r="AX63" i="4"/>
  <c r="BL73" i="4"/>
  <c r="BL155" i="4" s="1"/>
  <c r="BM69" i="4"/>
  <c r="BN117" i="4"/>
  <c r="CH91" i="4"/>
  <c r="CH111" i="4"/>
  <c r="BN107" i="4"/>
  <c r="BO95" i="4"/>
  <c r="BO103" i="4"/>
  <c r="BN101" i="4"/>
  <c r="BL39" i="4"/>
  <c r="BL41" i="4" s="1"/>
  <c r="BL145" i="4" s="1"/>
  <c r="BM71" i="4"/>
  <c r="BM75" i="4" s="1"/>
  <c r="BN97" i="4"/>
  <c r="BN93" i="4"/>
  <c r="BO83" i="4"/>
  <c r="BO87" i="4"/>
  <c r="BM37" i="4"/>
  <c r="BO51" i="4"/>
  <c r="AY55" i="4" s="1"/>
  <c r="BO79" i="4"/>
  <c r="BN33" i="4"/>
  <c r="CI35" i="4"/>
  <c r="CI43" i="4" s="1"/>
  <c r="CI45" i="4" s="1"/>
  <c r="CI177" i="4" s="1"/>
  <c r="BO31" i="4"/>
  <c r="BP25" i="4"/>
  <c r="BQ23" i="4"/>
  <c r="BK169" i="4" l="1"/>
  <c r="BK171" i="4" s="1"/>
  <c r="BL157" i="4"/>
  <c r="AX133" i="4"/>
  <c r="BM175" i="4"/>
  <c r="CB163" i="4"/>
  <c r="CC161" i="4"/>
  <c r="BM167" i="4"/>
  <c r="AV141" i="4"/>
  <c r="AU139" i="4"/>
  <c r="AU141" i="4"/>
  <c r="AU143" i="4" s="1"/>
  <c r="AV223" i="4"/>
  <c r="AV221" i="4"/>
  <c r="BH213" i="4"/>
  <c r="AV219" i="4"/>
  <c r="AV149" i="4"/>
  <c r="AV151" i="4" s="1"/>
  <c r="BI49" i="4"/>
  <c r="BJ47" i="4"/>
  <c r="BK27" i="4"/>
  <c r="BJ29" i="4"/>
  <c r="BJ211" i="4" s="1"/>
  <c r="AV139" i="4"/>
  <c r="AU153" i="4"/>
  <c r="BL147" i="4"/>
  <c r="BO179" i="4"/>
  <c r="BN121" i="4"/>
  <c r="BN123" i="4" s="1"/>
  <c r="BN173" i="4" s="1"/>
  <c r="BM115" i="4"/>
  <c r="AV159" i="4"/>
  <c r="BN99" i="4"/>
  <c r="BN113" i="4" s="1"/>
  <c r="BN165" i="4" s="1"/>
  <c r="AW85" i="4"/>
  <c r="AX127" i="4"/>
  <c r="AW127" i="4"/>
  <c r="AW129" i="4"/>
  <c r="AX129" i="4"/>
  <c r="AY63" i="4"/>
  <c r="AY59" i="4"/>
  <c r="AY133" i="4" s="1"/>
  <c r="AY67" i="4"/>
  <c r="AW77" i="4"/>
  <c r="AW125" i="4"/>
  <c r="AX125" i="4"/>
  <c r="AW81" i="4"/>
  <c r="BM73" i="4"/>
  <c r="BM155" i="4" s="1"/>
  <c r="BN69" i="4"/>
  <c r="BO117" i="4"/>
  <c r="CI91" i="4"/>
  <c r="CI111" i="4"/>
  <c r="BO107" i="4"/>
  <c r="BN71" i="4"/>
  <c r="BN75" i="4" s="1"/>
  <c r="BO101" i="4"/>
  <c r="BP95" i="4"/>
  <c r="BP103" i="4"/>
  <c r="BM39" i="4"/>
  <c r="BM41" i="4" s="1"/>
  <c r="BM145" i="4" s="1"/>
  <c r="BO97" i="4"/>
  <c r="BO93" i="4"/>
  <c r="BP83" i="4"/>
  <c r="BP87" i="4"/>
  <c r="BN37" i="4"/>
  <c r="BP51" i="4"/>
  <c r="AZ55" i="4" s="1"/>
  <c r="BP79" i="4"/>
  <c r="BO33" i="4"/>
  <c r="CJ35" i="4"/>
  <c r="CJ43" i="4" s="1"/>
  <c r="CJ45" i="4" s="1"/>
  <c r="CJ177" i="4" s="1"/>
  <c r="BP31" i="4"/>
  <c r="BQ25" i="4"/>
  <c r="BR23" i="4"/>
  <c r="BM157" i="4" l="1"/>
  <c r="BL169" i="4"/>
  <c r="BM169" i="4" s="1"/>
  <c r="CD161" i="4"/>
  <c r="BN175" i="4"/>
  <c r="BN167" i="4"/>
  <c r="CC163" i="4"/>
  <c r="AW223" i="4"/>
  <c r="AW221" i="4"/>
  <c r="BI213" i="4"/>
  <c r="AY127" i="4"/>
  <c r="AW219" i="4"/>
  <c r="BJ49" i="4"/>
  <c r="BK47" i="4"/>
  <c r="BL27" i="4"/>
  <c r="BK29" i="4"/>
  <c r="BK211" i="4" s="1"/>
  <c r="AV143" i="4"/>
  <c r="BM147" i="4"/>
  <c r="AW209" i="4"/>
  <c r="AW207" i="4"/>
  <c r="AW205" i="4"/>
  <c r="AX81" i="4"/>
  <c r="AX207" i="4" s="1"/>
  <c r="AV153" i="4"/>
  <c r="BP179" i="4"/>
  <c r="BN115" i="4"/>
  <c r="BO121" i="4"/>
  <c r="BO123" i="4" s="1"/>
  <c r="BO173" i="4" s="1"/>
  <c r="AX85" i="4"/>
  <c r="BO99" i="4"/>
  <c r="BO113" i="4" s="1"/>
  <c r="BO165" i="4" s="1"/>
  <c r="AX77" i="4"/>
  <c r="AX205" i="4" s="1"/>
  <c r="AW149" i="4"/>
  <c r="AW151" i="4" s="1"/>
  <c r="AW135" i="4"/>
  <c r="AX131" i="4"/>
  <c r="AW131" i="4"/>
  <c r="AZ67" i="4"/>
  <c r="AZ129" i="4" s="1"/>
  <c r="AY125" i="4"/>
  <c r="AZ63" i="4"/>
  <c r="AZ59" i="4"/>
  <c r="AZ133" i="4" s="1"/>
  <c r="AY129" i="4"/>
  <c r="BN73" i="4"/>
  <c r="BN155" i="4" s="1"/>
  <c r="BO69" i="4"/>
  <c r="BP117" i="4"/>
  <c r="CJ91" i="4"/>
  <c r="CJ111" i="4"/>
  <c r="BO71" i="4"/>
  <c r="BO75" i="4" s="1"/>
  <c r="BP107" i="4"/>
  <c r="BQ95" i="4"/>
  <c r="BQ103" i="4"/>
  <c r="BP101" i="4"/>
  <c r="BN39" i="4"/>
  <c r="BP97" i="4"/>
  <c r="BP93" i="4"/>
  <c r="BQ83" i="4"/>
  <c r="BQ87" i="4"/>
  <c r="BO37" i="4"/>
  <c r="BQ51" i="4"/>
  <c r="BA55" i="4" s="1"/>
  <c r="BA59" i="4" s="1"/>
  <c r="BQ79" i="4"/>
  <c r="BP33" i="4"/>
  <c r="CK35" i="4"/>
  <c r="CK43" i="4" s="1"/>
  <c r="CK45" i="4" s="1"/>
  <c r="CK177" i="4" s="1"/>
  <c r="BQ31" i="4"/>
  <c r="BR25" i="4"/>
  <c r="BS23" i="4"/>
  <c r="BM171" i="4" l="1"/>
  <c r="BN169" i="4"/>
  <c r="BN171" i="4" s="1"/>
  <c r="BL171" i="4"/>
  <c r="BN157" i="4"/>
  <c r="BA133" i="4"/>
  <c r="CE161" i="4"/>
  <c r="CE163" i="4" s="1"/>
  <c r="BO175" i="4"/>
  <c r="BO167" i="4"/>
  <c r="CD163" i="4"/>
  <c r="AX221" i="4"/>
  <c r="AX223" i="4"/>
  <c r="BJ213" i="4"/>
  <c r="AX209" i="4"/>
  <c r="AX219" i="4"/>
  <c r="BK49" i="4"/>
  <c r="BL47" i="4"/>
  <c r="BM27" i="4"/>
  <c r="BL29" i="4"/>
  <c r="BL211" i="4" s="1"/>
  <c r="AW137" i="4"/>
  <c r="AY81" i="4"/>
  <c r="AY207" i="4" s="1"/>
  <c r="AY85" i="4"/>
  <c r="AY135" i="4"/>
  <c r="AY137" i="4" s="1"/>
  <c r="AX135" i="4"/>
  <c r="AX137" i="4" s="1"/>
  <c r="AW153" i="4"/>
  <c r="BQ179" i="4"/>
  <c r="BO115" i="4"/>
  <c r="BO169" i="4" s="1"/>
  <c r="BP121" i="4"/>
  <c r="BP123" i="4" s="1"/>
  <c r="BP173" i="4" s="1"/>
  <c r="AX149" i="4"/>
  <c r="AX151" i="4" s="1"/>
  <c r="AW159" i="4"/>
  <c r="AY77" i="4"/>
  <c r="BP99" i="4"/>
  <c r="AY131" i="4"/>
  <c r="AZ125" i="4"/>
  <c r="BA67" i="4"/>
  <c r="AZ127" i="4"/>
  <c r="BA63" i="4"/>
  <c r="BO73" i="4"/>
  <c r="BO155" i="4" s="1"/>
  <c r="BP69" i="4"/>
  <c r="BQ117" i="4"/>
  <c r="CK91" i="4"/>
  <c r="CK111" i="4"/>
  <c r="BP71" i="4"/>
  <c r="BP75" i="4" s="1"/>
  <c r="BN41" i="4"/>
  <c r="BN145" i="4" s="1"/>
  <c r="BQ107" i="4"/>
  <c r="BR95" i="4"/>
  <c r="BR103" i="4"/>
  <c r="BQ101" i="4"/>
  <c r="BO39" i="4"/>
  <c r="BO41" i="4" s="1"/>
  <c r="BQ97" i="4"/>
  <c r="BQ93" i="4"/>
  <c r="BR83" i="4"/>
  <c r="BR87" i="4"/>
  <c r="BP37" i="4"/>
  <c r="BR51" i="4"/>
  <c r="BB55" i="4" s="1"/>
  <c r="BB59" i="4" s="1"/>
  <c r="BB133" i="4" s="1"/>
  <c r="BR79" i="4"/>
  <c r="BQ33" i="4"/>
  <c r="CL35" i="4"/>
  <c r="CL43" i="4" s="1"/>
  <c r="CL45" i="4" s="1"/>
  <c r="CL177" i="4" s="1"/>
  <c r="BR31" i="4"/>
  <c r="BS25" i="4"/>
  <c r="BT23" i="4"/>
  <c r="BO157" i="4" l="1"/>
  <c r="S58" i="9" s="1"/>
  <c r="BO145" i="4"/>
  <c r="BP175" i="4"/>
  <c r="BO171" i="4"/>
  <c r="CF161" i="4"/>
  <c r="AW139" i="4"/>
  <c r="AX141" i="4"/>
  <c r="AY141" i="4"/>
  <c r="AW141" i="4"/>
  <c r="AW143" i="4" s="1"/>
  <c r="AY221" i="4"/>
  <c r="AY223" i="4"/>
  <c r="BK213" i="4"/>
  <c r="AY209" i="4"/>
  <c r="AY219" i="4"/>
  <c r="AZ85" i="4"/>
  <c r="BL49" i="4"/>
  <c r="BM47" i="4"/>
  <c r="BN27" i="4"/>
  <c r="BM29" i="4"/>
  <c r="BM211" i="4" s="1"/>
  <c r="AZ81" i="4"/>
  <c r="AZ207" i="4" s="1"/>
  <c r="AX139" i="4"/>
  <c r="AY139" i="4"/>
  <c r="AZ77" i="4"/>
  <c r="AZ205" i="4" s="1"/>
  <c r="AY205" i="4"/>
  <c r="AZ135" i="4"/>
  <c r="AZ137" i="4" s="1"/>
  <c r="BP113" i="4"/>
  <c r="BP165" i="4" s="1"/>
  <c r="AX153" i="4"/>
  <c r="BN147" i="4"/>
  <c r="BR179" i="4"/>
  <c r="BQ121" i="4"/>
  <c r="BQ123" i="4" s="1"/>
  <c r="BQ173" i="4" s="1"/>
  <c r="BQ175" i="4" s="1"/>
  <c r="AY149" i="4"/>
  <c r="AY151" i="4" s="1"/>
  <c r="AX159" i="4"/>
  <c r="BQ99" i="4"/>
  <c r="BQ113" i="4" s="1"/>
  <c r="AZ131" i="4"/>
  <c r="BA127" i="4"/>
  <c r="BA129" i="4"/>
  <c r="BB63" i="4"/>
  <c r="BB67" i="4"/>
  <c r="BA125" i="4"/>
  <c r="BP73" i="4"/>
  <c r="BQ71" i="4"/>
  <c r="BQ75" i="4" s="1"/>
  <c r="BQ69" i="4"/>
  <c r="BR117" i="4"/>
  <c r="CL91" i="4"/>
  <c r="CL111" i="4"/>
  <c r="BR107" i="4"/>
  <c r="BS95" i="4"/>
  <c r="BS103" i="4"/>
  <c r="BR101" i="4"/>
  <c r="BP39" i="4"/>
  <c r="BP41" i="4" s="1"/>
  <c r="BR97" i="4"/>
  <c r="BR93" i="4"/>
  <c r="BS83" i="4"/>
  <c r="BS87" i="4"/>
  <c r="BQ37" i="4"/>
  <c r="BS51" i="4"/>
  <c r="BC55" i="4" s="1"/>
  <c r="BS79" i="4"/>
  <c r="BR33" i="4"/>
  <c r="CM35" i="4"/>
  <c r="CM43" i="4" s="1"/>
  <c r="CM45" i="4" s="1"/>
  <c r="CM177" i="4" s="1"/>
  <c r="BS31" i="4"/>
  <c r="BT25" i="4"/>
  <c r="BU23" i="4"/>
  <c r="BP167" i="4" l="1"/>
  <c r="CG161" i="4"/>
  <c r="CG163" i="4" s="1"/>
  <c r="BP145" i="4"/>
  <c r="BQ165" i="4"/>
  <c r="BQ167" i="4" s="1"/>
  <c r="CF163" i="4"/>
  <c r="AZ139" i="4"/>
  <c r="AZ141" i="4"/>
  <c r="AZ143" i="4" s="1"/>
  <c r="AX143" i="4"/>
  <c r="AZ223" i="4"/>
  <c r="AZ221" i="4"/>
  <c r="BL213" i="4"/>
  <c r="BB127" i="4"/>
  <c r="AY143" i="4"/>
  <c r="AZ209" i="4"/>
  <c r="AZ219" i="4"/>
  <c r="S66" i="9"/>
  <c r="S64" i="9"/>
  <c r="S62" i="9"/>
  <c r="BA81" i="4"/>
  <c r="BA207" i="4" s="1"/>
  <c r="BA85" i="4"/>
  <c r="BM49" i="4"/>
  <c r="BN47" i="4"/>
  <c r="BO27" i="4"/>
  <c r="BN29" i="4"/>
  <c r="BN211" i="4" s="1"/>
  <c r="AZ149" i="4"/>
  <c r="AZ151" i="4" s="1"/>
  <c r="BA77" i="4"/>
  <c r="BA205" i="4" s="1"/>
  <c r="BP115" i="4"/>
  <c r="BB135" i="4"/>
  <c r="BB137" i="4" s="1"/>
  <c r="BP155" i="4"/>
  <c r="BP157" i="4" s="1"/>
  <c r="AY153" i="4"/>
  <c r="BS179" i="4"/>
  <c r="BR121" i="4"/>
  <c r="BR123" i="4" s="1"/>
  <c r="BR173" i="4" s="1"/>
  <c r="BQ115" i="4"/>
  <c r="BR99" i="4"/>
  <c r="BR113" i="4" s="1"/>
  <c r="BR165" i="4" s="1"/>
  <c r="BA131" i="4"/>
  <c r="BA135" i="4"/>
  <c r="BA137" i="4" s="1"/>
  <c r="BR71" i="4"/>
  <c r="BR75" i="4" s="1"/>
  <c r="BB125" i="4"/>
  <c r="BC63" i="4"/>
  <c r="BC59" i="4"/>
  <c r="BC133" i="4" s="1"/>
  <c r="BB129" i="4"/>
  <c r="BC67" i="4"/>
  <c r="BQ73" i="4"/>
  <c r="BQ155" i="4" s="1"/>
  <c r="BR69" i="4"/>
  <c r="BS117" i="4"/>
  <c r="CM91" i="4"/>
  <c r="CM111" i="4"/>
  <c r="BS107" i="4"/>
  <c r="BS101" i="4"/>
  <c r="BT95" i="4"/>
  <c r="BT103" i="4"/>
  <c r="BQ39" i="4"/>
  <c r="BS97" i="4"/>
  <c r="BS93" i="4"/>
  <c r="BT83" i="4"/>
  <c r="BT87" i="4"/>
  <c r="BR37" i="4"/>
  <c r="BT51" i="4"/>
  <c r="BD55" i="4" s="1"/>
  <c r="BT79" i="4"/>
  <c r="BS33" i="4"/>
  <c r="CN35" i="4"/>
  <c r="CN43" i="4" s="1"/>
  <c r="CN45" i="4" s="1"/>
  <c r="CN177" i="4" s="1"/>
  <c r="BT31" i="4"/>
  <c r="BU25" i="4"/>
  <c r="BV23" i="4"/>
  <c r="BR167" i="4" l="1"/>
  <c r="BR175" i="4"/>
  <c r="BP169" i="4"/>
  <c r="BP171" i="4" s="1"/>
  <c r="CH161" i="4"/>
  <c r="CH163" i="4" s="1"/>
  <c r="BQ157" i="4"/>
  <c r="BA141" i="4"/>
  <c r="BA143" i="4" s="1"/>
  <c r="BB141" i="4"/>
  <c r="BA223" i="4"/>
  <c r="BA221" i="4"/>
  <c r="BM213" i="4"/>
  <c r="BA209" i="4"/>
  <c r="BA219" i="4"/>
  <c r="BB85" i="4"/>
  <c r="BB81" i="4"/>
  <c r="BB207" i="4" s="1"/>
  <c r="S54" i="9"/>
  <c r="BN49" i="4"/>
  <c r="BO47" i="4"/>
  <c r="BP27" i="4"/>
  <c r="BO29" i="4"/>
  <c r="BO211" i="4" s="1"/>
  <c r="S28" i="9" s="1"/>
  <c r="BB77" i="4"/>
  <c r="BA149" i="4"/>
  <c r="BA151" i="4" s="1"/>
  <c r="AZ153" i="4"/>
  <c r="BO147" i="4"/>
  <c r="BP147" i="4"/>
  <c r="BT179" i="4"/>
  <c r="BS121" i="4"/>
  <c r="BS123" i="4" s="1"/>
  <c r="BS173" i="4" s="1"/>
  <c r="BR115" i="4"/>
  <c r="AY159" i="4"/>
  <c r="BS99" i="4"/>
  <c r="BS113" i="4" s="1"/>
  <c r="BS165" i="4" s="1"/>
  <c r="BS71" i="4"/>
  <c r="BS75" i="4" s="1"/>
  <c r="R52" i="9"/>
  <c r="BB131" i="4"/>
  <c r="BB139" i="4"/>
  <c r="BA139" i="4"/>
  <c r="BD67" i="4"/>
  <c r="BC125" i="4"/>
  <c r="R17" i="9" s="1"/>
  <c r="BC129" i="4"/>
  <c r="R21" i="9" s="1"/>
  <c r="BC127" i="4"/>
  <c r="R19" i="9" s="1"/>
  <c r="BD63" i="4"/>
  <c r="BD59" i="4"/>
  <c r="BD133" i="4" s="1"/>
  <c r="BR73" i="4"/>
  <c r="BS69" i="4"/>
  <c r="BT117" i="4"/>
  <c r="CN91" i="4"/>
  <c r="CN111" i="4"/>
  <c r="BQ41" i="4"/>
  <c r="BQ145" i="4" s="1"/>
  <c r="BT107" i="4"/>
  <c r="BU95" i="4"/>
  <c r="BU103" i="4"/>
  <c r="BT101" i="4"/>
  <c r="BR39" i="4"/>
  <c r="BR41" i="4" s="1"/>
  <c r="BT97" i="4"/>
  <c r="BT93" i="4"/>
  <c r="BU83" i="4"/>
  <c r="BU87" i="4"/>
  <c r="BS37" i="4"/>
  <c r="BU51" i="4"/>
  <c r="BE55" i="4" s="1"/>
  <c r="BU79" i="4"/>
  <c r="BT33" i="4"/>
  <c r="CO35" i="4"/>
  <c r="CO43" i="4" s="1"/>
  <c r="CO45" i="4" s="1"/>
  <c r="CO177" i="4" s="1"/>
  <c r="BU31" i="4"/>
  <c r="BV25" i="4"/>
  <c r="BW23" i="4"/>
  <c r="BR145" i="4" l="1"/>
  <c r="BR147" i="4" s="1"/>
  <c r="BQ169" i="4"/>
  <c r="BR169" i="4" s="1"/>
  <c r="BR171" i="4" s="1"/>
  <c r="CI161" i="4"/>
  <c r="CI163" i="4" s="1"/>
  <c r="BS175" i="4"/>
  <c r="BS167" i="4"/>
  <c r="BC81" i="4"/>
  <c r="BC207" i="4" s="1"/>
  <c r="BB221" i="4"/>
  <c r="BB223" i="4"/>
  <c r="BR155" i="4"/>
  <c r="BR157" i="4" s="1"/>
  <c r="BN213" i="4"/>
  <c r="BB205" i="4"/>
  <c r="BB209" i="4"/>
  <c r="BB219" i="4"/>
  <c r="BC85" i="4"/>
  <c r="BD85" i="4" s="1"/>
  <c r="BC77" i="4"/>
  <c r="BC205" i="4" s="1"/>
  <c r="BB149" i="4"/>
  <c r="BB151" i="4" s="1"/>
  <c r="BO49" i="4"/>
  <c r="BP47" i="4"/>
  <c r="BQ27" i="4"/>
  <c r="BP29" i="4"/>
  <c r="BP211" i="4" s="1"/>
  <c r="BC135" i="4"/>
  <c r="BC137" i="4" s="1"/>
  <c r="BD129" i="4"/>
  <c r="BU179" i="4"/>
  <c r="BT121" i="4"/>
  <c r="BT123" i="4" s="1"/>
  <c r="BT173" i="4" s="1"/>
  <c r="BS115" i="4"/>
  <c r="AZ159" i="4"/>
  <c r="BT99" i="4"/>
  <c r="BT71" i="4"/>
  <c r="BT75" i="4" s="1"/>
  <c r="BB143" i="4"/>
  <c r="BD81" i="4"/>
  <c r="BD125" i="4"/>
  <c r="BE67" i="4"/>
  <c r="BC131" i="4"/>
  <c r="BD127" i="4"/>
  <c r="BE63" i="4"/>
  <c r="BE59" i="4"/>
  <c r="BE133" i="4" s="1"/>
  <c r="BS73" i="4"/>
  <c r="BT69" i="4"/>
  <c r="BU117" i="4"/>
  <c r="CO91" i="4"/>
  <c r="CO111" i="4"/>
  <c r="BU107" i="4"/>
  <c r="BV95" i="4"/>
  <c r="BV103" i="4"/>
  <c r="BU101" i="4"/>
  <c r="BS39" i="4"/>
  <c r="BS41" i="4" s="1"/>
  <c r="BS145" i="4" s="1"/>
  <c r="BU97" i="4"/>
  <c r="BU93" i="4"/>
  <c r="BV83" i="4"/>
  <c r="BV87" i="4"/>
  <c r="BT37" i="4"/>
  <c r="BV51" i="4"/>
  <c r="BF55" i="4" s="1"/>
  <c r="BV79" i="4"/>
  <c r="BU33" i="4"/>
  <c r="CP35" i="4"/>
  <c r="CP43" i="4" s="1"/>
  <c r="CP45" i="4" s="1"/>
  <c r="CP177" i="4" s="1"/>
  <c r="BV31" i="4"/>
  <c r="BW25" i="4"/>
  <c r="BX23" i="4"/>
  <c r="BQ171" i="4" l="1"/>
  <c r="BS169" i="4"/>
  <c r="BS171" i="4" s="1"/>
  <c r="BT175" i="4"/>
  <c r="CJ161" i="4"/>
  <c r="CK161" i="4" s="1"/>
  <c r="BS147" i="4"/>
  <c r="BC141" i="4"/>
  <c r="BC143" i="4" s="1"/>
  <c r="BD77" i="4"/>
  <c r="BD219" i="4" s="1"/>
  <c r="BS155" i="4"/>
  <c r="BS157" i="4" s="1"/>
  <c r="BT157" i="4" s="1"/>
  <c r="BC149" i="4"/>
  <c r="BC151" i="4" s="1"/>
  <c r="BC223" i="4"/>
  <c r="BC221" i="4"/>
  <c r="BO213" i="4"/>
  <c r="S30" i="9" s="1"/>
  <c r="BB153" i="4"/>
  <c r="BC209" i="4"/>
  <c r="BC219" i="4"/>
  <c r="R60" i="5"/>
  <c r="R37" i="7"/>
  <c r="T60" i="9"/>
  <c r="R15" i="9"/>
  <c r="BC139" i="4"/>
  <c r="R43" i="9" s="1"/>
  <c r="BP49" i="4"/>
  <c r="BQ47" i="4"/>
  <c r="BR27" i="4"/>
  <c r="BQ29" i="4"/>
  <c r="BQ211" i="4" s="1"/>
  <c r="BD207" i="4"/>
  <c r="BD209" i="4"/>
  <c r="BD135" i="4"/>
  <c r="BT113" i="4"/>
  <c r="BA153" i="4"/>
  <c r="BQ147" i="4"/>
  <c r="BV179" i="4"/>
  <c r="BU121" i="4"/>
  <c r="BU123" i="4" s="1"/>
  <c r="BU173" i="4" s="1"/>
  <c r="BA159" i="4"/>
  <c r="BU99" i="4"/>
  <c r="BU113" i="4" s="1"/>
  <c r="BU71" i="4"/>
  <c r="BU75" i="4" s="1"/>
  <c r="BF67" i="4"/>
  <c r="BE81" i="4"/>
  <c r="BE207" i="4" s="1"/>
  <c r="BE127" i="4"/>
  <c r="BE125" i="4"/>
  <c r="BE129" i="4"/>
  <c r="BE85" i="4"/>
  <c r="BE209" i="4" s="1"/>
  <c r="BD131" i="4"/>
  <c r="BF63" i="4"/>
  <c r="BF59" i="4"/>
  <c r="BF133" i="4" s="1"/>
  <c r="BT73" i="4"/>
  <c r="BT155" i="4" s="1"/>
  <c r="BU69" i="4"/>
  <c r="BV117" i="4"/>
  <c r="CP91" i="4"/>
  <c r="CP111" i="4"/>
  <c r="BV107" i="4"/>
  <c r="BV101" i="4"/>
  <c r="BW95" i="4"/>
  <c r="BW103" i="4"/>
  <c r="BT39" i="4"/>
  <c r="BT41" i="4" s="1"/>
  <c r="BT145" i="4" s="1"/>
  <c r="BV97" i="4"/>
  <c r="BV93" i="4"/>
  <c r="BW83" i="4"/>
  <c r="BW87" i="4"/>
  <c r="BU37" i="4"/>
  <c r="BW51" i="4"/>
  <c r="BG55" i="4" s="1"/>
  <c r="BG63" i="4" s="1"/>
  <c r="BW79" i="4"/>
  <c r="BV33" i="4"/>
  <c r="CQ35" i="4"/>
  <c r="CQ43" i="4" s="1"/>
  <c r="CQ45" i="4" s="1"/>
  <c r="CQ177" i="4" s="1"/>
  <c r="BW31" i="4"/>
  <c r="BX25" i="4"/>
  <c r="BY23" i="4"/>
  <c r="CJ163" i="4" l="1"/>
  <c r="BU175" i="4"/>
  <c r="BT165" i="4"/>
  <c r="BU165" i="4" s="1"/>
  <c r="CK163" i="4"/>
  <c r="CL161" i="4"/>
  <c r="BD149" i="4"/>
  <c r="BD151" i="4" s="1"/>
  <c r="BT115" i="4"/>
  <c r="BT169" i="4" s="1"/>
  <c r="BT171" i="4" s="1"/>
  <c r="BE77" i="4"/>
  <c r="BE205" i="4" s="1"/>
  <c r="BD205" i="4"/>
  <c r="R41" i="9"/>
  <c r="R34" i="9"/>
  <c r="R72" i="9"/>
  <c r="BC153" i="4"/>
  <c r="BD223" i="4"/>
  <c r="BD221" i="4"/>
  <c r="BE223" i="4"/>
  <c r="BE221" i="4"/>
  <c r="BF127" i="4"/>
  <c r="BP213" i="4"/>
  <c r="R68" i="9"/>
  <c r="S46" i="8"/>
  <c r="R56" i="9"/>
  <c r="BQ49" i="4"/>
  <c r="BR47" i="4"/>
  <c r="BS27" i="4"/>
  <c r="BR29" i="4"/>
  <c r="BR211" i="4" s="1"/>
  <c r="BD137" i="4"/>
  <c r="BE135" i="4"/>
  <c r="BE137" i="4" s="1"/>
  <c r="BF129" i="4"/>
  <c r="BT147" i="4"/>
  <c r="BW179" i="4"/>
  <c r="BU115" i="4"/>
  <c r="BV121" i="4"/>
  <c r="BV123" i="4" s="1"/>
  <c r="BV173" i="4" s="1"/>
  <c r="BB159" i="4"/>
  <c r="BV71" i="4"/>
  <c r="BV75" i="4" s="1"/>
  <c r="BV99" i="4"/>
  <c r="BV113" i="4" s="1"/>
  <c r="BF125" i="4"/>
  <c r="BF85" i="4"/>
  <c r="BE131" i="4"/>
  <c r="BG127" i="4"/>
  <c r="BF81" i="4"/>
  <c r="BF207" i="4" s="1"/>
  <c r="BG67" i="4"/>
  <c r="BG59" i="4"/>
  <c r="BG133" i="4" s="1"/>
  <c r="BU73" i="4"/>
  <c r="BU155" i="4" s="1"/>
  <c r="BU157" i="4" s="1"/>
  <c r="BV69" i="4"/>
  <c r="BW117" i="4"/>
  <c r="CQ91" i="4"/>
  <c r="CQ111" i="4"/>
  <c r="BW107" i="4"/>
  <c r="BX95" i="4"/>
  <c r="BX103" i="4"/>
  <c r="BW101" i="4"/>
  <c r="BU39" i="4"/>
  <c r="BW97" i="4"/>
  <c r="BW93" i="4"/>
  <c r="BX83" i="4"/>
  <c r="BX87" i="4"/>
  <c r="BV37" i="4"/>
  <c r="BX51" i="4"/>
  <c r="BH55" i="4" s="1"/>
  <c r="BX79" i="4"/>
  <c r="BW33" i="4"/>
  <c r="CR35" i="4"/>
  <c r="CR43" i="4" s="1"/>
  <c r="CR45" i="4" s="1"/>
  <c r="CR177" i="4" s="1"/>
  <c r="BX31" i="4"/>
  <c r="BY25" i="4"/>
  <c r="BZ23" i="4"/>
  <c r="BE219" i="4" l="1"/>
  <c r="BF223" i="4" s="1"/>
  <c r="BU169" i="4"/>
  <c r="BU171" i="4" s="1"/>
  <c r="CL163" i="4"/>
  <c r="CM161" i="4"/>
  <c r="BT167" i="4"/>
  <c r="BV165" i="4"/>
  <c r="BV175" i="4"/>
  <c r="BU167" i="4"/>
  <c r="BE149" i="4"/>
  <c r="BE151" i="4" s="1"/>
  <c r="BE141" i="4"/>
  <c r="BD141" i="4"/>
  <c r="BD143" i="4" s="1"/>
  <c r="BF77" i="4"/>
  <c r="BF205" i="4" s="1"/>
  <c r="BF209" i="4"/>
  <c r="BQ213" i="4"/>
  <c r="BE139" i="4"/>
  <c r="BR49" i="4"/>
  <c r="BS47" i="4"/>
  <c r="BT27" i="4"/>
  <c r="BS29" i="4"/>
  <c r="BS211" i="4" s="1"/>
  <c r="BF131" i="4"/>
  <c r="BD139" i="4"/>
  <c r="BG81" i="4"/>
  <c r="BX179" i="4"/>
  <c r="BW121" i="4"/>
  <c r="BW123" i="4" s="1"/>
  <c r="BW173" i="4" s="1"/>
  <c r="BV115" i="4"/>
  <c r="BV169" i="4" s="1"/>
  <c r="BG85" i="4"/>
  <c r="BG209" i="4" s="1"/>
  <c r="BC159" i="4"/>
  <c r="BW71" i="4"/>
  <c r="BW75" i="4" s="1"/>
  <c r="BD153" i="4"/>
  <c r="BW99" i="4"/>
  <c r="BW113" i="4" s="1"/>
  <c r="BF135" i="4"/>
  <c r="BG125" i="4"/>
  <c r="BH59" i="4"/>
  <c r="BH133" i="4" s="1"/>
  <c r="BH67" i="4"/>
  <c r="BH63" i="4"/>
  <c r="BG129" i="4"/>
  <c r="BV73" i="4"/>
  <c r="BV155" i="4" s="1"/>
  <c r="BV157" i="4" s="1"/>
  <c r="BW69" i="4"/>
  <c r="BX117" i="4"/>
  <c r="CR91" i="4"/>
  <c r="CR111" i="4"/>
  <c r="BU41" i="4"/>
  <c r="BU145" i="4" s="1"/>
  <c r="BX107" i="4"/>
  <c r="BY95" i="4"/>
  <c r="BY103" i="4"/>
  <c r="BX101" i="4"/>
  <c r="BV39" i="4"/>
  <c r="BV41" i="4" s="1"/>
  <c r="BX97" i="4"/>
  <c r="BX93" i="4"/>
  <c r="BY83" i="4"/>
  <c r="BY87" i="4"/>
  <c r="BW37" i="4"/>
  <c r="BY51" i="4"/>
  <c r="BI55" i="4" s="1"/>
  <c r="BY79" i="4"/>
  <c r="BX33" i="4"/>
  <c r="BY31" i="4"/>
  <c r="CS35" i="4"/>
  <c r="CS43" i="4" s="1"/>
  <c r="CS45" i="4" s="1"/>
  <c r="CS177" i="4" s="1"/>
  <c r="BZ25" i="4"/>
  <c r="CA23" i="4"/>
  <c r="BF221" i="4" l="1"/>
  <c r="BW165" i="4"/>
  <c r="BW167" i="4" s="1"/>
  <c r="BV145" i="4"/>
  <c r="CM163" i="4"/>
  <c r="CN161" i="4"/>
  <c r="BV171" i="4"/>
  <c r="BW175" i="4"/>
  <c r="BV167" i="4"/>
  <c r="BF149" i="4"/>
  <c r="BF151" i="4" s="1"/>
  <c r="BF219" i="4"/>
  <c r="BG223" i="4" s="1"/>
  <c r="BG77" i="4"/>
  <c r="BG205" i="4" s="1"/>
  <c r="BG207" i="4"/>
  <c r="BR213" i="4"/>
  <c r="BS49" i="4"/>
  <c r="BT47" i="4"/>
  <c r="BU27" i="4"/>
  <c r="BT29" i="4"/>
  <c r="BT211" i="4" s="1"/>
  <c r="BF137" i="4"/>
  <c r="BE143" i="4"/>
  <c r="BG135" i="4"/>
  <c r="BH129" i="4"/>
  <c r="BU147" i="4"/>
  <c r="BY179" i="4"/>
  <c r="BX121" i="4"/>
  <c r="BX123" i="4" s="1"/>
  <c r="BX173" i="4" s="1"/>
  <c r="BW115" i="4"/>
  <c r="BW169" i="4" s="1"/>
  <c r="BX71" i="4"/>
  <c r="BX75" i="4" s="1"/>
  <c r="BD159" i="4"/>
  <c r="BE153" i="4"/>
  <c r="BX99" i="4"/>
  <c r="BX113" i="4" s="1"/>
  <c r="BI67" i="4"/>
  <c r="BI129" i="4" s="1"/>
  <c r="BI59" i="4"/>
  <c r="BI133" i="4" s="1"/>
  <c r="BH127" i="4"/>
  <c r="BH81" i="4"/>
  <c r="BH125" i="4"/>
  <c r="BH85" i="4"/>
  <c r="BG131" i="4"/>
  <c r="BI63" i="4"/>
  <c r="BW73" i="4"/>
  <c r="BW155" i="4" s="1"/>
  <c r="BW157" i="4" s="1"/>
  <c r="BX69" i="4"/>
  <c r="BY117" i="4"/>
  <c r="CS91" i="4"/>
  <c r="CS111" i="4"/>
  <c r="BY107" i="4"/>
  <c r="BY101" i="4"/>
  <c r="BZ95" i="4"/>
  <c r="BZ103" i="4"/>
  <c r="BW39" i="4"/>
  <c r="BW41" i="4" s="1"/>
  <c r="BY97" i="4"/>
  <c r="BY93" i="4"/>
  <c r="BZ83" i="4"/>
  <c r="BZ87" i="4"/>
  <c r="BX37" i="4"/>
  <c r="BZ51" i="4"/>
  <c r="BJ55" i="4" s="1"/>
  <c r="BJ67" i="4" s="1"/>
  <c r="BZ79" i="4"/>
  <c r="BY33" i="4"/>
  <c r="BZ31" i="4"/>
  <c r="CT35" i="4"/>
  <c r="CT43" i="4" s="1"/>
  <c r="CT45" i="4" s="1"/>
  <c r="CT177" i="4" s="1"/>
  <c r="CA25" i="4"/>
  <c r="CB23" i="4"/>
  <c r="BW145" i="4" l="1"/>
  <c r="BX165" i="4"/>
  <c r="BX167" i="4" s="1"/>
  <c r="BG149" i="4"/>
  <c r="BG151" i="4"/>
  <c r="BW171" i="4"/>
  <c r="CN163" i="4"/>
  <c r="CO161" i="4"/>
  <c r="BX175" i="4"/>
  <c r="BG137" i="4"/>
  <c r="BG139" i="4" s="1"/>
  <c r="BG219" i="4"/>
  <c r="BH223" i="4" s="1"/>
  <c r="BH77" i="4"/>
  <c r="BH205" i="4" s="1"/>
  <c r="BG221" i="4"/>
  <c r="BF139" i="4"/>
  <c r="BF141" i="4"/>
  <c r="BF143" i="4" s="1"/>
  <c r="BG141" i="4"/>
  <c r="BS213" i="4"/>
  <c r="BT49" i="4"/>
  <c r="BU47" i="4"/>
  <c r="BV27" i="4"/>
  <c r="BU29" i="4"/>
  <c r="BU211" i="4" s="1"/>
  <c r="BH209" i="4"/>
  <c r="BH207" i="4"/>
  <c r="BH135" i="4"/>
  <c r="BV147" i="4"/>
  <c r="BZ179" i="4"/>
  <c r="T32" i="9"/>
  <c r="BY121" i="4"/>
  <c r="BY123" i="4" s="1"/>
  <c r="BY173" i="4" s="1"/>
  <c r="BX115" i="4"/>
  <c r="BX169" i="4" s="1"/>
  <c r="BY71" i="4"/>
  <c r="BY75" i="4" s="1"/>
  <c r="BF159" i="4"/>
  <c r="BE159" i="4"/>
  <c r="BF153" i="4"/>
  <c r="BY99" i="4"/>
  <c r="BY113" i="4" s="1"/>
  <c r="BY165" i="4" s="1"/>
  <c r="BH131" i="4"/>
  <c r="BI81" i="4"/>
  <c r="BI127" i="4"/>
  <c r="BJ63" i="4"/>
  <c r="BJ59" i="4"/>
  <c r="BJ133" i="4" s="1"/>
  <c r="BJ129" i="4"/>
  <c r="BI125" i="4"/>
  <c r="BI85" i="4"/>
  <c r="BX73" i="4"/>
  <c r="BX155" i="4" s="1"/>
  <c r="BX157" i="4" s="1"/>
  <c r="BY69" i="4"/>
  <c r="BZ117" i="4"/>
  <c r="CT91" i="4"/>
  <c r="CT111" i="4"/>
  <c r="BZ107" i="4"/>
  <c r="CA95" i="4"/>
  <c r="CA103" i="4"/>
  <c r="BZ101" i="4"/>
  <c r="BX39" i="4"/>
  <c r="BX41" i="4" s="1"/>
  <c r="BX145" i="4" s="1"/>
  <c r="BZ97" i="4"/>
  <c r="BZ93" i="4"/>
  <c r="CA83" i="4"/>
  <c r="CA87" i="4"/>
  <c r="BY37" i="4"/>
  <c r="CA51" i="4"/>
  <c r="BK55" i="4" s="1"/>
  <c r="BK63" i="4" s="1"/>
  <c r="CA79" i="4"/>
  <c r="BZ33" i="4"/>
  <c r="CA31" i="4"/>
  <c r="CU35" i="4"/>
  <c r="CU43" i="4" s="1"/>
  <c r="CU45" i="4" s="1"/>
  <c r="CU177" i="4" s="1"/>
  <c r="CB25" i="4"/>
  <c r="CC23" i="4"/>
  <c r="BX171" i="4" l="1"/>
  <c r="BY167" i="4"/>
  <c r="CO163" i="4"/>
  <c r="CP161" i="4"/>
  <c r="CP163" i="4" s="1"/>
  <c r="BY175" i="4"/>
  <c r="BH149" i="4"/>
  <c r="BH151" i="4" s="1"/>
  <c r="BI77" i="4"/>
  <c r="BI205" i="4" s="1"/>
  <c r="BG143" i="4"/>
  <c r="BH219" i="4"/>
  <c r="BI221" i="4" s="1"/>
  <c r="BH221" i="4"/>
  <c r="BI207" i="4"/>
  <c r="BI209" i="4"/>
  <c r="BT213" i="4"/>
  <c r="BU49" i="4"/>
  <c r="BV47" i="4"/>
  <c r="BW27" i="4"/>
  <c r="BV29" i="4"/>
  <c r="BV211" i="4" s="1"/>
  <c r="BH137" i="4"/>
  <c r="BI135" i="4"/>
  <c r="BI137" i="4" s="1"/>
  <c r="CA179" i="4"/>
  <c r="BZ121" i="4"/>
  <c r="BZ123" i="4" s="1"/>
  <c r="BZ173" i="4" s="1"/>
  <c r="BY115" i="4"/>
  <c r="BY169" i="4" s="1"/>
  <c r="BZ71" i="4"/>
  <c r="BZ75" i="4" s="1"/>
  <c r="BH159" i="4"/>
  <c r="BG159" i="4"/>
  <c r="BG153" i="4"/>
  <c r="BZ99" i="4"/>
  <c r="BZ113" i="4" s="1"/>
  <c r="BZ165" i="4" s="1"/>
  <c r="BI131" i="4"/>
  <c r="BJ81" i="4"/>
  <c r="BJ207" i="4" s="1"/>
  <c r="BJ125" i="4"/>
  <c r="BK67" i="4"/>
  <c r="BJ127" i="4"/>
  <c r="BJ85" i="4"/>
  <c r="BJ209" i="4" s="1"/>
  <c r="BK59" i="4"/>
  <c r="BK133" i="4" s="1"/>
  <c r="BK127" i="4"/>
  <c r="BY73" i="4"/>
  <c r="BY155" i="4" s="1"/>
  <c r="BY157" i="4" s="1"/>
  <c r="BZ69" i="4"/>
  <c r="CA117" i="4"/>
  <c r="CU91" i="4"/>
  <c r="CU111" i="4"/>
  <c r="CA107" i="4"/>
  <c r="CB95" i="4"/>
  <c r="CB103" i="4"/>
  <c r="CA101" i="4"/>
  <c r="BY39" i="4"/>
  <c r="BY41" i="4" s="1"/>
  <c r="BY145" i="4" s="1"/>
  <c r="CA97" i="4"/>
  <c r="CA93" i="4"/>
  <c r="CB83" i="4"/>
  <c r="CB87" i="4"/>
  <c r="BZ37" i="4"/>
  <c r="CB51" i="4"/>
  <c r="BL55" i="4" s="1"/>
  <c r="CB79" i="4"/>
  <c r="CA33" i="4"/>
  <c r="CB31" i="4"/>
  <c r="CV35" i="4"/>
  <c r="CV43" i="4" s="1"/>
  <c r="CV45" i="4" s="1"/>
  <c r="CV177" i="4" s="1"/>
  <c r="CC25" i="4"/>
  <c r="CD23" i="4"/>
  <c r="BY171" i="4" l="1"/>
  <c r="BZ175" i="4"/>
  <c r="CQ161" i="4"/>
  <c r="CQ163" i="4" s="1"/>
  <c r="BZ167" i="4"/>
  <c r="BI149" i="4"/>
  <c r="BI151" i="4" s="1"/>
  <c r="BJ77" i="4"/>
  <c r="BJ205" i="4" s="1"/>
  <c r="BI219" i="4"/>
  <c r="BJ221" i="4" s="1"/>
  <c r="BH141" i="4"/>
  <c r="BH143" i="4" s="1"/>
  <c r="BI223" i="4"/>
  <c r="BI141" i="4"/>
  <c r="BU213" i="4"/>
  <c r="BI139" i="4"/>
  <c r="BV49" i="4"/>
  <c r="BW47" i="4"/>
  <c r="BX27" i="4"/>
  <c r="BW29" i="4"/>
  <c r="BW211" i="4" s="1"/>
  <c r="BH139" i="4"/>
  <c r="BK81" i="4"/>
  <c r="BK207" i="4" s="1"/>
  <c r="BJ135" i="4"/>
  <c r="BW147" i="4"/>
  <c r="CA71" i="4"/>
  <c r="CA75" i="4" s="1"/>
  <c r="CB179" i="4"/>
  <c r="CA121" i="4"/>
  <c r="CA123" i="4" s="1"/>
  <c r="CA173" i="4" s="1"/>
  <c r="BZ115" i="4"/>
  <c r="BZ169" i="4" s="1"/>
  <c r="BK85" i="4"/>
  <c r="BK209" i="4" s="1"/>
  <c r="BJ159" i="4"/>
  <c r="BI159" i="4"/>
  <c r="BH153" i="4"/>
  <c r="CA99" i="4"/>
  <c r="CA113" i="4" s="1"/>
  <c r="CA165" i="4" s="1"/>
  <c r="BK77" i="4"/>
  <c r="BK205" i="4" s="1"/>
  <c r="BJ149" i="4"/>
  <c r="BK129" i="4"/>
  <c r="BK125" i="4"/>
  <c r="BJ131" i="4"/>
  <c r="BL59" i="4"/>
  <c r="BL133" i="4" s="1"/>
  <c r="BL67" i="4"/>
  <c r="BL63" i="4"/>
  <c r="BZ73" i="4"/>
  <c r="BZ155" i="4" s="1"/>
  <c r="BZ157" i="4" s="1"/>
  <c r="CA69" i="4"/>
  <c r="CB117" i="4"/>
  <c r="CV91" i="4"/>
  <c r="CV111" i="4"/>
  <c r="CB107" i="4"/>
  <c r="CB101" i="4"/>
  <c r="CC95" i="4"/>
  <c r="CC103" i="4"/>
  <c r="BZ39" i="4"/>
  <c r="BZ41" i="4" s="1"/>
  <c r="BZ145" i="4" s="1"/>
  <c r="CB97" i="4"/>
  <c r="CB93" i="4"/>
  <c r="CC83" i="4"/>
  <c r="CC87" i="4"/>
  <c r="CA37" i="4"/>
  <c r="CC51" i="4"/>
  <c r="BM55" i="4" s="1"/>
  <c r="CC79" i="4"/>
  <c r="CB33" i="4"/>
  <c r="CC31" i="4"/>
  <c r="CW35" i="4"/>
  <c r="CW43" i="4" s="1"/>
  <c r="CW45" i="4" s="1"/>
  <c r="CW177" i="4" s="1"/>
  <c r="CD25" i="4"/>
  <c r="CE23" i="4"/>
  <c r="BJ219" i="4" l="1"/>
  <c r="BK221" i="4" s="1"/>
  <c r="BJ151" i="4"/>
  <c r="CA175" i="4"/>
  <c r="BZ171" i="4"/>
  <c r="CR161" i="4"/>
  <c r="CS161" i="4" s="1"/>
  <c r="CA167" i="4"/>
  <c r="BJ223" i="4"/>
  <c r="BV213" i="4"/>
  <c r="BK219" i="4"/>
  <c r="BW49" i="4"/>
  <c r="BX47" i="4"/>
  <c r="BY27" i="4"/>
  <c r="BX29" i="4"/>
  <c r="BX211" i="4" s="1"/>
  <c r="BI143" i="4"/>
  <c r="BJ137" i="4"/>
  <c r="BK135" i="4"/>
  <c r="BK137" i="4" s="1"/>
  <c r="CB71" i="4"/>
  <c r="CB75" i="4" s="1"/>
  <c r="BX147" i="4"/>
  <c r="CC179" i="4"/>
  <c r="CB121" i="4"/>
  <c r="CB123" i="4" s="1"/>
  <c r="CB173" i="4" s="1"/>
  <c r="CA115" i="4"/>
  <c r="CA169" i="4" s="1"/>
  <c r="BL85" i="4"/>
  <c r="BL209" i="4" s="1"/>
  <c r="BK149" i="4"/>
  <c r="BI153" i="4"/>
  <c r="CB99" i="4"/>
  <c r="BK131" i="4"/>
  <c r="BM63" i="4"/>
  <c r="BL127" i="4"/>
  <c r="BL77" i="4"/>
  <c r="BL205" i="4" s="1"/>
  <c r="BL129" i="4"/>
  <c r="BM59" i="4"/>
  <c r="BM133" i="4" s="1"/>
  <c r="BM67" i="4"/>
  <c r="BM129" i="4" s="1"/>
  <c r="BL125" i="4"/>
  <c r="BL81" i="4"/>
  <c r="BL207" i="4" s="1"/>
  <c r="CA73" i="4"/>
  <c r="CA155" i="4" s="1"/>
  <c r="CA157" i="4" s="1"/>
  <c r="CB69" i="4"/>
  <c r="CC117" i="4"/>
  <c r="CW91" i="4"/>
  <c r="CW111" i="4"/>
  <c r="CC107" i="4"/>
  <c r="CD95" i="4"/>
  <c r="CD103" i="4"/>
  <c r="CC101" i="4"/>
  <c r="CA39" i="4"/>
  <c r="CA41" i="4" s="1"/>
  <c r="CA145" i="4" s="1"/>
  <c r="CC97" i="4"/>
  <c r="CC93" i="4"/>
  <c r="CD83" i="4"/>
  <c r="CD87" i="4"/>
  <c r="CB37" i="4"/>
  <c r="CD51" i="4"/>
  <c r="BN55" i="4" s="1"/>
  <c r="BN63" i="4" s="1"/>
  <c r="CD79" i="4"/>
  <c r="CC33" i="4"/>
  <c r="CD31" i="4"/>
  <c r="CX35" i="4"/>
  <c r="CX43" i="4" s="1"/>
  <c r="CX45" i="4" s="1"/>
  <c r="CX177" i="4" s="1"/>
  <c r="CE25" i="4"/>
  <c r="CF23" i="4"/>
  <c r="BK223" i="4" l="1"/>
  <c r="BK151" i="4"/>
  <c r="CR163" i="4"/>
  <c r="CS163" i="4"/>
  <c r="CT161" i="4"/>
  <c r="CT163" i="4" s="1"/>
  <c r="CA171" i="4"/>
  <c r="CB175" i="4"/>
  <c r="BJ141" i="4"/>
  <c r="BJ143" i="4" s="1"/>
  <c r="BK141" i="4"/>
  <c r="BL223" i="4"/>
  <c r="BL221" i="4"/>
  <c r="BW213" i="4"/>
  <c r="BM127" i="4"/>
  <c r="BL219" i="4"/>
  <c r="BK139" i="4"/>
  <c r="CC71" i="4"/>
  <c r="CC75" i="4" s="1"/>
  <c r="BX49" i="4"/>
  <c r="BY47" i="4"/>
  <c r="BZ27" i="4"/>
  <c r="BY29" i="4"/>
  <c r="BY211" i="4" s="1"/>
  <c r="BJ139" i="4"/>
  <c r="BL135" i="4"/>
  <c r="CB113" i="4"/>
  <c r="CB165" i="4" s="1"/>
  <c r="BY147" i="4"/>
  <c r="CD179" i="4"/>
  <c r="CC121" i="4"/>
  <c r="CC123" i="4" s="1"/>
  <c r="CC173" i="4" s="1"/>
  <c r="T58" i="9"/>
  <c r="BK159" i="4"/>
  <c r="BJ153" i="4"/>
  <c r="CC99" i="4"/>
  <c r="CC113" i="4" s="1"/>
  <c r="BL149" i="4"/>
  <c r="BL151" i="4" s="1"/>
  <c r="BN127" i="4"/>
  <c r="BN67" i="4"/>
  <c r="BM81" i="4"/>
  <c r="BM207" i="4" s="1"/>
  <c r="BM85" i="4"/>
  <c r="BM209" i="4" s="1"/>
  <c r="BN59" i="4"/>
  <c r="BN133" i="4" s="1"/>
  <c r="BL131" i="4"/>
  <c r="BM125" i="4"/>
  <c r="BM77" i="4"/>
  <c r="BM205" i="4" s="1"/>
  <c r="CB73" i="4"/>
  <c r="CC69" i="4"/>
  <c r="CD117" i="4"/>
  <c r="CX91" i="4"/>
  <c r="CX111" i="4"/>
  <c r="CD107" i="4"/>
  <c r="CE95" i="4"/>
  <c r="CE103" i="4"/>
  <c r="CD101" i="4"/>
  <c r="CB39" i="4"/>
  <c r="CD97" i="4"/>
  <c r="CD93" i="4"/>
  <c r="CE83" i="4"/>
  <c r="CE87" i="4"/>
  <c r="CC37" i="4"/>
  <c r="CE51" i="4"/>
  <c r="BO55" i="4" s="1"/>
  <c r="CE79" i="4"/>
  <c r="CD33" i="4"/>
  <c r="CE31" i="4"/>
  <c r="CY35" i="4"/>
  <c r="CY43" i="4" s="1"/>
  <c r="CY45" i="4" s="1"/>
  <c r="CY177" i="4" s="1"/>
  <c r="CF25" i="4"/>
  <c r="CG23" i="4"/>
  <c r="CC165" i="4" l="1"/>
  <c r="CC167" i="4" s="1"/>
  <c r="CB167" i="4"/>
  <c r="CU161" i="4"/>
  <c r="CU163" i="4" s="1"/>
  <c r="CC175" i="4"/>
  <c r="CD71" i="4"/>
  <c r="CD75" i="4" s="1"/>
  <c r="BM223" i="4"/>
  <c r="BM221" i="4"/>
  <c r="BX213" i="4"/>
  <c r="BM131" i="4"/>
  <c r="BM219" i="4"/>
  <c r="T66" i="9"/>
  <c r="T64" i="9"/>
  <c r="T62" i="9"/>
  <c r="T54" i="9"/>
  <c r="BY49" i="4"/>
  <c r="BZ47" i="4"/>
  <c r="CA27" i="4"/>
  <c r="BZ29" i="4"/>
  <c r="BZ211" i="4" s="1"/>
  <c r="BK143" i="4"/>
  <c r="BL137" i="4"/>
  <c r="BL141" i="4" s="1"/>
  <c r="CB115" i="4"/>
  <c r="BN81" i="4"/>
  <c r="BN207" i="4" s="1"/>
  <c r="BM135" i="4"/>
  <c r="BM137" i="4" s="1"/>
  <c r="CB155" i="4"/>
  <c r="CB157" i="4" s="1"/>
  <c r="CA147" i="4"/>
  <c r="BZ147" i="4"/>
  <c r="CE179" i="4"/>
  <c r="CC115" i="4"/>
  <c r="CD121" i="4"/>
  <c r="CD123" i="4" s="1"/>
  <c r="CD173" i="4" s="1"/>
  <c r="BN85" i="4"/>
  <c r="BN209" i="4" s="1"/>
  <c r="BM159" i="4"/>
  <c r="BL159" i="4"/>
  <c r="BK153" i="4"/>
  <c r="CD99" i="4"/>
  <c r="CD113" i="4" s="1"/>
  <c r="CD165" i="4" s="1"/>
  <c r="CD167" i="4" s="1"/>
  <c r="BN77" i="4"/>
  <c r="BN205" i="4" s="1"/>
  <c r="BM149" i="4"/>
  <c r="BM151" i="4" s="1"/>
  <c r="BO59" i="4"/>
  <c r="BO133" i="4" s="1"/>
  <c r="BO67" i="4"/>
  <c r="BO63" i="4"/>
  <c r="BN129" i="4"/>
  <c r="BN125" i="4"/>
  <c r="CC73" i="4"/>
  <c r="CC155" i="4" s="1"/>
  <c r="CD69" i="4"/>
  <c r="CE117" i="4"/>
  <c r="CY91" i="4"/>
  <c r="CY111" i="4"/>
  <c r="CE107" i="4"/>
  <c r="CB41" i="4"/>
  <c r="CB145" i="4" s="1"/>
  <c r="CE101" i="4"/>
  <c r="CF95" i="4"/>
  <c r="CF103" i="4"/>
  <c r="CC39" i="4"/>
  <c r="CE97" i="4"/>
  <c r="CF87" i="4"/>
  <c r="CE93" i="4"/>
  <c r="CF79" i="4"/>
  <c r="CF83" i="4"/>
  <c r="CD37" i="4"/>
  <c r="CE71" i="4"/>
  <c r="CE75" i="4" s="1"/>
  <c r="CE33" i="4"/>
  <c r="CF31" i="4"/>
  <c r="CF51" i="4"/>
  <c r="BP55" i="4" s="1"/>
  <c r="CZ35" i="4"/>
  <c r="CZ43" i="4" s="1"/>
  <c r="CZ45" i="4" s="1"/>
  <c r="CZ177" i="4" s="1"/>
  <c r="CG25" i="4"/>
  <c r="CH23" i="4"/>
  <c r="CC157" i="4" l="1"/>
  <c r="CD175" i="4"/>
  <c r="CB169" i="4"/>
  <c r="CB171" i="4" s="1"/>
  <c r="CV161" i="4"/>
  <c r="CW161" i="4" s="1"/>
  <c r="BM141" i="4"/>
  <c r="BN221" i="4"/>
  <c r="BN223" i="4"/>
  <c r="BY213" i="4"/>
  <c r="BN219" i="4"/>
  <c r="CB147" i="4"/>
  <c r="BZ49" i="4"/>
  <c r="CA47" i="4"/>
  <c r="CB27" i="4"/>
  <c r="CA29" i="4"/>
  <c r="CA211" i="4" s="1"/>
  <c r="T28" i="9" s="1"/>
  <c r="BM139" i="4"/>
  <c r="BL139" i="4"/>
  <c r="BL143" i="4"/>
  <c r="BN135" i="4"/>
  <c r="BN137" i="4" s="1"/>
  <c r="BN141" i="4" s="1"/>
  <c r="CF179" i="4"/>
  <c r="BN149" i="4"/>
  <c r="BN151" i="4" s="1"/>
  <c r="CE121" i="4"/>
  <c r="CE123" i="4" s="1"/>
  <c r="CE173" i="4" s="1"/>
  <c r="CD115" i="4"/>
  <c r="BO85" i="4"/>
  <c r="BO209" i="4" s="1"/>
  <c r="BO159" i="4"/>
  <c r="BL153" i="4"/>
  <c r="CE99" i="4"/>
  <c r="CE113" i="4" s="1"/>
  <c r="CE165" i="4" s="1"/>
  <c r="CE167" i="4" s="1"/>
  <c r="S52" i="9"/>
  <c r="BO77" i="4"/>
  <c r="BO205" i="4" s="1"/>
  <c r="BN131" i="4"/>
  <c r="BP67" i="4"/>
  <c r="BO129" i="4"/>
  <c r="S21" i="9" s="1"/>
  <c r="BP63" i="4"/>
  <c r="BP59" i="4"/>
  <c r="BP133" i="4" s="1"/>
  <c r="BO127" i="4"/>
  <c r="S19" i="9" s="1"/>
  <c r="BO81" i="4"/>
  <c r="BO207" i="4" s="1"/>
  <c r="BO125" i="4"/>
  <c r="S17" i="9" s="1"/>
  <c r="CD73" i="4"/>
  <c r="CD155" i="4" s="1"/>
  <c r="CE69" i="4"/>
  <c r="CF117" i="4"/>
  <c r="CZ91" i="4"/>
  <c r="CZ111" i="4"/>
  <c r="CC41" i="4"/>
  <c r="CC145" i="4" s="1"/>
  <c r="CF107" i="4"/>
  <c r="CG95" i="4"/>
  <c r="CG103" i="4"/>
  <c r="CF101" i="4"/>
  <c r="CD39" i="4"/>
  <c r="CD41" i="4" s="1"/>
  <c r="CF97" i="4"/>
  <c r="CG87" i="4"/>
  <c r="CF93" i="4"/>
  <c r="CG79" i="4"/>
  <c r="CG83" i="4"/>
  <c r="CE37" i="4"/>
  <c r="CF33" i="4"/>
  <c r="CF71" i="4"/>
  <c r="CF75" i="4" s="1"/>
  <c r="CG31" i="4"/>
  <c r="CG51" i="4"/>
  <c r="BQ55" i="4" s="1"/>
  <c r="BQ63" i="4" s="1"/>
  <c r="DA35" i="4"/>
  <c r="DA43" i="4" s="1"/>
  <c r="DA45" i="4" s="1"/>
  <c r="DA177" i="4" s="1"/>
  <c r="CH25" i="4"/>
  <c r="CI23" i="4"/>
  <c r="CD145" i="4" l="1"/>
  <c r="CV163" i="4"/>
  <c r="CC169" i="4"/>
  <c r="CD169" i="4" s="1"/>
  <c r="CW163" i="4"/>
  <c r="CX161" i="4"/>
  <c r="CE175" i="4"/>
  <c r="CD157" i="4"/>
  <c r="BO223" i="4"/>
  <c r="BO221" i="4"/>
  <c r="BZ213" i="4"/>
  <c r="BO219" i="4"/>
  <c r="CC147" i="4"/>
  <c r="U60" i="9"/>
  <c r="CA49" i="4"/>
  <c r="CB47" i="4"/>
  <c r="BN139" i="4"/>
  <c r="CC27" i="4"/>
  <c r="CB29" i="4"/>
  <c r="CB211" i="4" s="1"/>
  <c r="BN143" i="4"/>
  <c r="BM143" i="4"/>
  <c r="BO135" i="4"/>
  <c r="BO137" i="4" s="1"/>
  <c r="BP129" i="4"/>
  <c r="CG179" i="4"/>
  <c r="CE115" i="4"/>
  <c r="CF121" i="4"/>
  <c r="CF123" i="4" s="1"/>
  <c r="CF173" i="4" s="1"/>
  <c r="BN159" i="4"/>
  <c r="BM153" i="4"/>
  <c r="BO149" i="4"/>
  <c r="BO151" i="4" s="1"/>
  <c r="CF99" i="4"/>
  <c r="CF113" i="4" s="1"/>
  <c r="CF165" i="4" s="1"/>
  <c r="BP77" i="4"/>
  <c r="BP81" i="4"/>
  <c r="BP127" i="4"/>
  <c r="BO131" i="4"/>
  <c r="BQ127" i="4"/>
  <c r="BP85" i="4"/>
  <c r="BP125" i="4"/>
  <c r="BQ67" i="4"/>
  <c r="BQ59" i="4"/>
  <c r="BQ133" i="4" s="1"/>
  <c r="CE73" i="4"/>
  <c r="CE155" i="4" s="1"/>
  <c r="CF69" i="4"/>
  <c r="CG69" i="4" s="1"/>
  <c r="CG117" i="4"/>
  <c r="DA91" i="4"/>
  <c r="DA111" i="4"/>
  <c r="CG107" i="4"/>
  <c r="CG101" i="4"/>
  <c r="CH95" i="4"/>
  <c r="CH103" i="4"/>
  <c r="CE39" i="4"/>
  <c r="CE41" i="4" s="1"/>
  <c r="CG97" i="4"/>
  <c r="CH87" i="4"/>
  <c r="CG93" i="4"/>
  <c r="CH79" i="4"/>
  <c r="CH83" i="4"/>
  <c r="CF37" i="4"/>
  <c r="CH31" i="4"/>
  <c r="CG33" i="4"/>
  <c r="CG71" i="4"/>
  <c r="CG75" i="4" s="1"/>
  <c r="CH51" i="4"/>
  <c r="BR55" i="4" s="1"/>
  <c r="DB35" i="4"/>
  <c r="DB43" i="4" s="1"/>
  <c r="DB45" i="4" s="1"/>
  <c r="DB177" i="4" s="1"/>
  <c r="CI25" i="4"/>
  <c r="CJ23" i="4"/>
  <c r="CE145" i="4" l="1"/>
  <c r="CD171" i="4"/>
  <c r="CX163" i="4"/>
  <c r="CY161" i="4"/>
  <c r="CZ161" i="4" s="1"/>
  <c r="CZ163" i="4" s="1"/>
  <c r="CE169" i="4"/>
  <c r="CE171" i="4" s="1"/>
  <c r="CF167" i="4"/>
  <c r="CE157" i="4"/>
  <c r="CF175" i="4"/>
  <c r="CC171" i="4"/>
  <c r="BO141" i="4"/>
  <c r="BO143" i="4" s="1"/>
  <c r="S34" i="9"/>
  <c r="S72" i="9"/>
  <c r="BP223" i="4"/>
  <c r="BP221" i="4"/>
  <c r="CD147" i="4"/>
  <c r="CA213" i="4"/>
  <c r="T30" i="9" s="1"/>
  <c r="BP219" i="4"/>
  <c r="BO139" i="4"/>
  <c r="S43" i="9" s="1"/>
  <c r="S60" i="5"/>
  <c r="S37" i="7"/>
  <c r="S15" i="9"/>
  <c r="CB49" i="4"/>
  <c r="CC47" i="4"/>
  <c r="CD27" i="4"/>
  <c r="CC29" i="4"/>
  <c r="CC211" i="4" s="1"/>
  <c r="BP207" i="4"/>
  <c r="BP209" i="4"/>
  <c r="BP205" i="4"/>
  <c r="BP135" i="4"/>
  <c r="BQ81" i="4"/>
  <c r="BQ207" i="4" s="1"/>
  <c r="CH179" i="4"/>
  <c r="CG121" i="4"/>
  <c r="CG123" i="4" s="1"/>
  <c r="CG173" i="4" s="1"/>
  <c r="CG175" i="4" s="1"/>
  <c r="CF115" i="4"/>
  <c r="BQ85" i="4"/>
  <c r="BQ209" i="4" s="1"/>
  <c r="BN153" i="4"/>
  <c r="CG99" i="4"/>
  <c r="CG113" i="4" s="1"/>
  <c r="CG165" i="4" s="1"/>
  <c r="BQ77" i="4"/>
  <c r="BQ205" i="4" s="1"/>
  <c r="BP149" i="4"/>
  <c r="BP151" i="4" s="1"/>
  <c r="BP131" i="4"/>
  <c r="BR63" i="4"/>
  <c r="BQ125" i="4"/>
  <c r="BR59" i="4"/>
  <c r="BR133" i="4" s="1"/>
  <c r="BQ129" i="4"/>
  <c r="BR67" i="4"/>
  <c r="CG73" i="4"/>
  <c r="CG155" i="4" s="1"/>
  <c r="CF73" i="4"/>
  <c r="CF155" i="4" s="1"/>
  <c r="CH117" i="4"/>
  <c r="DB91" i="4"/>
  <c r="DB111" i="4"/>
  <c r="CH107" i="4"/>
  <c r="CH33" i="4"/>
  <c r="CH101" i="4"/>
  <c r="CI95" i="4"/>
  <c r="CI103" i="4"/>
  <c r="CF39" i="4"/>
  <c r="CH97" i="4"/>
  <c r="CI87" i="4"/>
  <c r="CH93" i="4"/>
  <c r="CI79" i="4"/>
  <c r="CI83" i="4"/>
  <c r="CG37" i="4"/>
  <c r="CI31" i="4"/>
  <c r="CH71" i="4"/>
  <c r="CH75" i="4" s="1"/>
  <c r="CH69" i="4"/>
  <c r="CI51" i="4"/>
  <c r="BS55" i="4" s="1"/>
  <c r="BS67" i="4" s="1"/>
  <c r="DC35" i="4"/>
  <c r="DC43" i="4" s="1"/>
  <c r="DC45" i="4" s="1"/>
  <c r="DC177" i="4" s="1"/>
  <c r="CJ25" i="4"/>
  <c r="CK23" i="4"/>
  <c r="CG167" i="4" l="1"/>
  <c r="CF169" i="4"/>
  <c r="CF171" i="4" s="1"/>
  <c r="CF157" i="4"/>
  <c r="CG157" i="4" s="1"/>
  <c r="DA161" i="4"/>
  <c r="DA163" i="4" s="1"/>
  <c r="CY163" i="4"/>
  <c r="S41" i="9"/>
  <c r="CE147" i="4"/>
  <c r="BQ223" i="4"/>
  <c r="BQ221" i="4"/>
  <c r="CB213" i="4"/>
  <c r="BQ219" i="4"/>
  <c r="S68" i="9"/>
  <c r="T46" i="8"/>
  <c r="S56" i="9"/>
  <c r="CC49" i="4"/>
  <c r="CD47" i="4"/>
  <c r="CE27" i="4"/>
  <c r="CD29" i="4"/>
  <c r="CD211" i="4" s="1"/>
  <c r="BP137" i="4"/>
  <c r="BR81" i="4"/>
  <c r="BQ135" i="4"/>
  <c r="BQ137" i="4" s="1"/>
  <c r="CI179" i="4"/>
  <c r="CG115" i="4"/>
  <c r="BQ149" i="4"/>
  <c r="BQ151" i="4" s="1"/>
  <c r="CH121" i="4"/>
  <c r="CH123" i="4" s="1"/>
  <c r="CH173" i="4" s="1"/>
  <c r="BP159" i="4"/>
  <c r="BO153" i="4"/>
  <c r="CH99" i="4"/>
  <c r="CH113" i="4" s="1"/>
  <c r="CH165" i="4" s="1"/>
  <c r="BR77" i="4"/>
  <c r="BR205" i="4" s="1"/>
  <c r="BR85" i="4"/>
  <c r="BQ131" i="4"/>
  <c r="BR129" i="4"/>
  <c r="BS129" i="4"/>
  <c r="BR125" i="4"/>
  <c r="BR127" i="4"/>
  <c r="BS59" i="4"/>
  <c r="BS133" i="4" s="1"/>
  <c r="BS63" i="4"/>
  <c r="CH73" i="4"/>
  <c r="CH155" i="4" s="1"/>
  <c r="CH37" i="4"/>
  <c r="CI117" i="4"/>
  <c r="DC91" i="4"/>
  <c r="DC111" i="4"/>
  <c r="CI107" i="4"/>
  <c r="CI101" i="4"/>
  <c r="CF41" i="4"/>
  <c r="CF145" i="4" s="1"/>
  <c r="CI33" i="4"/>
  <c r="CJ95" i="4"/>
  <c r="CJ103" i="4"/>
  <c r="CG39" i="4"/>
  <c r="CI97" i="4"/>
  <c r="CJ87" i="4"/>
  <c r="CI93" i="4"/>
  <c r="CJ79" i="4"/>
  <c r="CJ83" i="4"/>
  <c r="CJ31" i="4"/>
  <c r="CI71" i="4"/>
  <c r="CI75" i="4" s="1"/>
  <c r="CI69" i="4"/>
  <c r="CJ51" i="4"/>
  <c r="BT55" i="4" s="1"/>
  <c r="DD35" i="4"/>
  <c r="DD43" i="4" s="1"/>
  <c r="DD45" i="4" s="1"/>
  <c r="DD177" i="4" s="1"/>
  <c r="CK25" i="4"/>
  <c r="CL23" i="4"/>
  <c r="CG169" i="4" l="1"/>
  <c r="CG171" i="4" s="1"/>
  <c r="BQ141" i="4"/>
  <c r="CH175" i="4"/>
  <c r="CH157" i="4"/>
  <c r="DB161" i="4"/>
  <c r="CH167" i="4"/>
  <c r="BP141" i="4"/>
  <c r="BP143" i="4" s="1"/>
  <c r="BR223" i="4"/>
  <c r="BR221" i="4"/>
  <c r="BR207" i="4"/>
  <c r="CC213" i="4"/>
  <c r="BR219" i="4"/>
  <c r="CF147" i="4"/>
  <c r="CD49" i="4"/>
  <c r="CE47" i="4"/>
  <c r="CH39" i="4"/>
  <c r="CH41" i="4" s="1"/>
  <c r="CF27" i="4"/>
  <c r="CE29" i="4"/>
  <c r="CE211" i="4" s="1"/>
  <c r="BQ139" i="4"/>
  <c r="BP139" i="4"/>
  <c r="BR209" i="4"/>
  <c r="BR135" i="4"/>
  <c r="CJ179" i="4"/>
  <c r="CH115" i="4"/>
  <c r="CI121" i="4"/>
  <c r="CI123" i="4" s="1"/>
  <c r="CI173" i="4" s="1"/>
  <c r="BP153" i="4"/>
  <c r="CI99" i="4"/>
  <c r="CI113" i="4" s="1"/>
  <c r="CI165" i="4" s="1"/>
  <c r="BR149" i="4"/>
  <c r="BR151" i="4" s="1"/>
  <c r="BR131" i="4"/>
  <c r="BT67" i="4"/>
  <c r="BS77" i="4"/>
  <c r="BS205" i="4" s="1"/>
  <c r="BT63" i="4"/>
  <c r="BT59" i="4"/>
  <c r="BT133" i="4" s="1"/>
  <c r="BS85" i="4"/>
  <c r="BS81" i="4"/>
  <c r="BS127" i="4"/>
  <c r="BS125" i="4"/>
  <c r="CI73" i="4"/>
  <c r="CI155" i="4" s="1"/>
  <c r="CI37" i="4"/>
  <c r="CJ117" i="4"/>
  <c r="DD91" i="4"/>
  <c r="DD111" i="4"/>
  <c r="CJ107" i="4"/>
  <c r="CG41" i="4"/>
  <c r="CG145" i="4" s="1"/>
  <c r="CH145" i="4" s="1"/>
  <c r="CJ101" i="4"/>
  <c r="CJ33" i="4"/>
  <c r="CK95" i="4"/>
  <c r="CK103" i="4"/>
  <c r="CJ97" i="4"/>
  <c r="CK87" i="4"/>
  <c r="CJ93" i="4"/>
  <c r="CK79" i="4"/>
  <c r="CK83" i="4"/>
  <c r="CK31" i="4"/>
  <c r="CJ71" i="4"/>
  <c r="CJ75" i="4" s="1"/>
  <c r="CJ69" i="4"/>
  <c r="CK51" i="4"/>
  <c r="BU55" i="4" s="1"/>
  <c r="DE35" i="4"/>
  <c r="DE43" i="4" s="1"/>
  <c r="DE45" i="4" s="1"/>
  <c r="DE177" i="4" s="1"/>
  <c r="CL25" i="4"/>
  <c r="CM23" i="4"/>
  <c r="CH169" i="4" l="1"/>
  <c r="CH171" i="4" s="1"/>
  <c r="CI157" i="4"/>
  <c r="CI175" i="4"/>
  <c r="DB163" i="4"/>
  <c r="CI167" i="4"/>
  <c r="DC161" i="4"/>
  <c r="DD161" i="4" s="1"/>
  <c r="BS223" i="4"/>
  <c r="BS221" i="4"/>
  <c r="BS209" i="4"/>
  <c r="CD213" i="4"/>
  <c r="BS219" i="4"/>
  <c r="CG147" i="4"/>
  <c r="CE49" i="4"/>
  <c r="CF47" i="4"/>
  <c r="CI39" i="4"/>
  <c r="CI41" i="4" s="1"/>
  <c r="CI145" i="4" s="1"/>
  <c r="CG27" i="4"/>
  <c r="CF29" i="4"/>
  <c r="CF211" i="4" s="1"/>
  <c r="BQ143" i="4"/>
  <c r="BR137" i="4"/>
  <c r="BS207" i="4"/>
  <c r="BS135" i="4"/>
  <c r="CK179" i="4"/>
  <c r="CI115" i="4"/>
  <c r="CI169" i="4" s="1"/>
  <c r="CJ121" i="4"/>
  <c r="CJ123" i="4" s="1"/>
  <c r="CJ173" i="4" s="1"/>
  <c r="BS159" i="4"/>
  <c r="BQ159" i="4"/>
  <c r="BR159" i="4"/>
  <c r="BQ153" i="4"/>
  <c r="CJ99" i="4"/>
  <c r="CJ113" i="4" s="1"/>
  <c r="CJ165" i="4" s="1"/>
  <c r="BS149" i="4"/>
  <c r="BS151" i="4" s="1"/>
  <c r="BS131" i="4"/>
  <c r="BU67" i="4"/>
  <c r="BU129" i="4" s="1"/>
  <c r="BT127" i="4"/>
  <c r="BU59" i="4"/>
  <c r="BU133" i="4" s="1"/>
  <c r="BT81" i="4"/>
  <c r="BT77" i="4"/>
  <c r="BU63" i="4"/>
  <c r="BT129" i="4"/>
  <c r="BT85" i="4"/>
  <c r="BT209" i="4" s="1"/>
  <c r="BT125" i="4"/>
  <c r="CJ73" i="4"/>
  <c r="CJ155" i="4" s="1"/>
  <c r="CK117" i="4"/>
  <c r="CK107" i="4"/>
  <c r="DE91" i="4"/>
  <c r="DE111" i="4"/>
  <c r="CK101" i="4"/>
  <c r="CJ37" i="4"/>
  <c r="CK33" i="4"/>
  <c r="CL95" i="4"/>
  <c r="CL103" i="4"/>
  <c r="CK97" i="4"/>
  <c r="CK93" i="4"/>
  <c r="CL83" i="4"/>
  <c r="CL87" i="4"/>
  <c r="CL31" i="4"/>
  <c r="CL79" i="4"/>
  <c r="CK71" i="4"/>
  <c r="CK75" i="4" s="1"/>
  <c r="CK69" i="4"/>
  <c r="CL51" i="4"/>
  <c r="BV55" i="4" s="1"/>
  <c r="BV63" i="4" s="1"/>
  <c r="DF35" i="4"/>
  <c r="DF43" i="4" s="1"/>
  <c r="DF45" i="4" s="1"/>
  <c r="DF177" i="4" s="1"/>
  <c r="CM25" i="4"/>
  <c r="CN23" i="4"/>
  <c r="CI171" i="4" l="1"/>
  <c r="CJ175" i="4"/>
  <c r="DE161" i="4"/>
  <c r="DD163" i="4"/>
  <c r="CJ167" i="4"/>
  <c r="DC163" i="4"/>
  <c r="CJ157" i="4"/>
  <c r="BR141" i="4"/>
  <c r="BR143" i="4" s="1"/>
  <c r="BT223" i="4"/>
  <c r="BT221" i="4"/>
  <c r="BT207" i="4"/>
  <c r="CE213" i="4"/>
  <c r="BT219" i="4"/>
  <c r="CF49" i="4"/>
  <c r="CG47" i="4"/>
  <c r="CJ39" i="4"/>
  <c r="CJ41" i="4" s="1"/>
  <c r="CJ145" i="4" s="1"/>
  <c r="CH27" i="4"/>
  <c r="CG29" i="4"/>
  <c r="CG211" i="4" s="1"/>
  <c r="BR139" i="4"/>
  <c r="BS137" i="4"/>
  <c r="BT205" i="4"/>
  <c r="BT135" i="4"/>
  <c r="CH147" i="4"/>
  <c r="CL179" i="4"/>
  <c r="U32" i="9"/>
  <c r="CK121" i="4"/>
  <c r="CK123" i="4" s="1"/>
  <c r="CK173" i="4" s="1"/>
  <c r="CJ115" i="4"/>
  <c r="CJ169" i="4" s="1"/>
  <c r="BT159" i="4"/>
  <c r="BR153" i="4"/>
  <c r="CK99" i="4"/>
  <c r="CK113" i="4" s="1"/>
  <c r="CK165" i="4" s="1"/>
  <c r="BT149" i="4"/>
  <c r="BT151" i="4" s="1"/>
  <c r="BT131" i="4"/>
  <c r="BU85" i="4"/>
  <c r="BU209" i="4" s="1"/>
  <c r="BU77" i="4"/>
  <c r="BU205" i="4" s="1"/>
  <c r="BU81" i="4"/>
  <c r="BU207" i="4" s="1"/>
  <c r="BV67" i="4"/>
  <c r="BV129" i="4" s="1"/>
  <c r="BV59" i="4"/>
  <c r="BV133" i="4" s="1"/>
  <c r="BU127" i="4"/>
  <c r="BV127" i="4"/>
  <c r="BU125" i="4"/>
  <c r="CK73" i="4"/>
  <c r="CK155" i="4" s="1"/>
  <c r="CL117" i="4"/>
  <c r="CL107" i="4"/>
  <c r="DF91" i="4"/>
  <c r="DF161" i="4" s="1"/>
  <c r="DF111" i="4"/>
  <c r="CL101" i="4"/>
  <c r="CK37" i="4"/>
  <c r="CL33" i="4"/>
  <c r="CM95" i="4"/>
  <c r="CM103" i="4"/>
  <c r="CL97" i="4"/>
  <c r="CL93" i="4"/>
  <c r="CM83" i="4"/>
  <c r="CM87" i="4"/>
  <c r="CM31" i="4"/>
  <c r="CM79" i="4"/>
  <c r="CL71" i="4"/>
  <c r="CL75" i="4" s="1"/>
  <c r="CL69" i="4"/>
  <c r="CM51" i="4"/>
  <c r="BW55" i="4" s="1"/>
  <c r="BW59" i="4" s="1"/>
  <c r="DG35" i="4"/>
  <c r="DG43" i="4" s="1"/>
  <c r="DG45" i="4" s="1"/>
  <c r="DG177" i="4" s="1"/>
  <c r="CN25" i="4"/>
  <c r="CO23" i="4"/>
  <c r="BW133" i="4" l="1"/>
  <c r="CK175" i="4"/>
  <c r="CK167" i="4"/>
  <c r="DE163" i="4"/>
  <c r="DF163" i="4"/>
  <c r="CK157" i="4"/>
  <c r="CJ171" i="4"/>
  <c r="BS139" i="4"/>
  <c r="BS141" i="4"/>
  <c r="BS143" i="4" s="1"/>
  <c r="BU223" i="4"/>
  <c r="BU221" i="4"/>
  <c r="CF213" i="4"/>
  <c r="BU219" i="4"/>
  <c r="CG49" i="4"/>
  <c r="CH47" i="4"/>
  <c r="CK39" i="4"/>
  <c r="CK41" i="4" s="1"/>
  <c r="CK145" i="4" s="1"/>
  <c r="CI27" i="4"/>
  <c r="CH29" i="4"/>
  <c r="CH211" i="4" s="1"/>
  <c r="BT137" i="4"/>
  <c r="BV81" i="4"/>
  <c r="BV207" i="4" s="1"/>
  <c r="BU135" i="4"/>
  <c r="BU137" i="4" s="1"/>
  <c r="CI147" i="4"/>
  <c r="CM179" i="4"/>
  <c r="CK115" i="4"/>
  <c r="CK169" i="4" s="1"/>
  <c r="CL121" i="4"/>
  <c r="CL123" i="4" s="1"/>
  <c r="CL173" i="4" s="1"/>
  <c r="BV85" i="4"/>
  <c r="BV209" i="4" s="1"/>
  <c r="BS153" i="4"/>
  <c r="CL99" i="4"/>
  <c r="CL113" i="4" s="1"/>
  <c r="CL165" i="4" s="1"/>
  <c r="BV77" i="4"/>
  <c r="BU149" i="4"/>
  <c r="BU151" i="4" s="1"/>
  <c r="BU131" i="4"/>
  <c r="BV125" i="4"/>
  <c r="BW67" i="4"/>
  <c r="BW129" i="4" s="1"/>
  <c r="BW63" i="4"/>
  <c r="CL73" i="4"/>
  <c r="CL155" i="4" s="1"/>
  <c r="CM107" i="4"/>
  <c r="CM117" i="4"/>
  <c r="DG91" i="4"/>
  <c r="DG161" i="4" s="1"/>
  <c r="DG111" i="4"/>
  <c r="CM101" i="4"/>
  <c r="CL37" i="4"/>
  <c r="CM33" i="4"/>
  <c r="CN95" i="4"/>
  <c r="CN103" i="4"/>
  <c r="CM97" i="4"/>
  <c r="CM93" i="4"/>
  <c r="CN83" i="4"/>
  <c r="CN87" i="4"/>
  <c r="CN31" i="4"/>
  <c r="CN79" i="4"/>
  <c r="CM71" i="4"/>
  <c r="CM75" i="4" s="1"/>
  <c r="CM69" i="4"/>
  <c r="CN51" i="4"/>
  <c r="BX55" i="4" s="1"/>
  <c r="BX67" i="4" s="1"/>
  <c r="DH35" i="4"/>
  <c r="DH43" i="4" s="1"/>
  <c r="DH45" i="4" s="1"/>
  <c r="DH177" i="4" s="1"/>
  <c r="CO25" i="4"/>
  <c r="CP23" i="4"/>
  <c r="CK171" i="4" l="1"/>
  <c r="DG163" i="4"/>
  <c r="CL167" i="4"/>
  <c r="CL157" i="4"/>
  <c r="CL175" i="4"/>
  <c r="CK147" i="4"/>
  <c r="BU141" i="4"/>
  <c r="CJ147" i="4"/>
  <c r="BT139" i="4"/>
  <c r="BT141" i="4"/>
  <c r="BT143" i="4" s="1"/>
  <c r="BV221" i="4"/>
  <c r="BV223" i="4"/>
  <c r="CG213" i="4"/>
  <c r="BV131" i="4"/>
  <c r="BV219" i="4"/>
  <c r="CH49" i="4"/>
  <c r="CI47" i="4"/>
  <c r="CL39" i="4"/>
  <c r="CL41" i="4" s="1"/>
  <c r="CL145" i="4" s="1"/>
  <c r="CJ27" i="4"/>
  <c r="CI29" i="4"/>
  <c r="CI211" i="4" s="1"/>
  <c r="BU139" i="4"/>
  <c r="BV205" i="4"/>
  <c r="BV135" i="4"/>
  <c r="CN179" i="4"/>
  <c r="BW85" i="4"/>
  <c r="BV149" i="4"/>
  <c r="BV151" i="4" s="1"/>
  <c r="CL115" i="4"/>
  <c r="CL169" i="4" s="1"/>
  <c r="CM121" i="4"/>
  <c r="CM123" i="4" s="1"/>
  <c r="CM173" i="4" s="1"/>
  <c r="BU159" i="4"/>
  <c r="BT153" i="4"/>
  <c r="CM99" i="4"/>
  <c r="CM113" i="4" s="1"/>
  <c r="CM165" i="4" s="1"/>
  <c r="BW77" i="4"/>
  <c r="BW205" i="4" s="1"/>
  <c r="BW81" i="4"/>
  <c r="BW207" i="4" s="1"/>
  <c r="BX59" i="4"/>
  <c r="BX133" i="4" s="1"/>
  <c r="BW127" i="4"/>
  <c r="BX129" i="4"/>
  <c r="BX63" i="4"/>
  <c r="BW125" i="4"/>
  <c r="CM73" i="4"/>
  <c r="CM155" i="4" s="1"/>
  <c r="CN107" i="4"/>
  <c r="CN117" i="4"/>
  <c r="DH91" i="4"/>
  <c r="DH161" i="4" s="1"/>
  <c r="DH111" i="4"/>
  <c r="CM37" i="4"/>
  <c r="CN101" i="4"/>
  <c r="CN33" i="4"/>
  <c r="CO95" i="4"/>
  <c r="CO103" i="4"/>
  <c r="CN97" i="4"/>
  <c r="CN93" i="4"/>
  <c r="CO83" i="4"/>
  <c r="CO87" i="4"/>
  <c r="CO31" i="4"/>
  <c r="CO79" i="4"/>
  <c r="CN71" i="4"/>
  <c r="CN75" i="4" s="1"/>
  <c r="CN69" i="4"/>
  <c r="CO51" i="4"/>
  <c r="BY55" i="4" s="1"/>
  <c r="DI35" i="4"/>
  <c r="DI43" i="4" s="1"/>
  <c r="DI45" i="4" s="1"/>
  <c r="DI177" i="4" s="1"/>
  <c r="CP25" i="4"/>
  <c r="CQ23" i="4"/>
  <c r="CM157" i="4" l="1"/>
  <c r="U58" i="9" s="1"/>
  <c r="DH163" i="4"/>
  <c r="CL171" i="4"/>
  <c r="CM167" i="4"/>
  <c r="CM175" i="4"/>
  <c r="CL147" i="4"/>
  <c r="BU143" i="4"/>
  <c r="BW221" i="4"/>
  <c r="BW223" i="4"/>
  <c r="CH213" i="4"/>
  <c r="BW209" i="4"/>
  <c r="BW219" i="4"/>
  <c r="CI49" i="4"/>
  <c r="CJ47" i="4"/>
  <c r="CM39" i="4"/>
  <c r="CM41" i="4" s="1"/>
  <c r="CM145" i="4" s="1"/>
  <c r="CK27" i="4"/>
  <c r="CJ29" i="4"/>
  <c r="CJ211" i="4" s="1"/>
  <c r="BV137" i="4"/>
  <c r="BW135" i="4"/>
  <c r="BW137" i="4" s="1"/>
  <c r="CO179" i="4"/>
  <c r="CN121" i="4"/>
  <c r="CN123" i="4" s="1"/>
  <c r="CN173" i="4" s="1"/>
  <c r="CM115" i="4"/>
  <c r="CM169" i="4" s="1"/>
  <c r="CM171" i="4" s="1"/>
  <c r="BW159" i="4"/>
  <c r="BV159" i="4"/>
  <c r="BU153" i="4"/>
  <c r="CN99" i="4"/>
  <c r="BW149" i="4"/>
  <c r="BW151" i="4" s="1"/>
  <c r="BW131" i="4"/>
  <c r="BY67" i="4"/>
  <c r="BX125" i="4"/>
  <c r="BY63" i="4"/>
  <c r="BY59" i="4"/>
  <c r="BY133" i="4" s="1"/>
  <c r="BX77" i="4"/>
  <c r="BX205" i="4" s="1"/>
  <c r="BX85" i="4"/>
  <c r="BX209" i="4" s="1"/>
  <c r="BX127" i="4"/>
  <c r="BX81" i="4"/>
  <c r="BX207" i="4" s="1"/>
  <c r="CN73" i="4"/>
  <c r="CO107" i="4"/>
  <c r="CO117" i="4"/>
  <c r="DI91" i="4"/>
  <c r="DI161" i="4" s="1"/>
  <c r="DI111" i="4"/>
  <c r="CN37" i="4"/>
  <c r="CO101" i="4"/>
  <c r="CO33" i="4"/>
  <c r="CP95" i="4"/>
  <c r="CP103" i="4"/>
  <c r="CO97" i="4"/>
  <c r="CO93" i="4"/>
  <c r="CP83" i="4"/>
  <c r="CP87" i="4"/>
  <c r="CP31" i="4"/>
  <c r="CP79" i="4"/>
  <c r="CO71" i="4"/>
  <c r="CO75" i="4" s="1"/>
  <c r="CO69" i="4"/>
  <c r="CP51" i="4"/>
  <c r="BZ55" i="4" s="1"/>
  <c r="BZ59" i="4" s="1"/>
  <c r="DJ35" i="4"/>
  <c r="DJ43" i="4" s="1"/>
  <c r="DJ45" i="4" s="1"/>
  <c r="DJ177" i="4" s="1"/>
  <c r="CQ25" i="4"/>
  <c r="CR23" i="4"/>
  <c r="BZ133" i="4" l="1"/>
  <c r="CN175" i="4"/>
  <c r="DI163" i="4"/>
  <c r="CM147" i="4"/>
  <c r="BW141" i="4"/>
  <c r="BV141" i="4"/>
  <c r="BV143" i="4" s="1"/>
  <c r="BX223" i="4"/>
  <c r="BX221" i="4"/>
  <c r="CI213" i="4"/>
  <c r="BX219" i="4"/>
  <c r="CJ49" i="4"/>
  <c r="CK47" i="4"/>
  <c r="CN39" i="4"/>
  <c r="CN41" i="4" s="1"/>
  <c r="CN145" i="4" s="1"/>
  <c r="CL27" i="4"/>
  <c r="CK29" i="4"/>
  <c r="CK211" i="4" s="1"/>
  <c r="BV139" i="4"/>
  <c r="BW139" i="4"/>
  <c r="BX135" i="4"/>
  <c r="BX137" i="4" s="1"/>
  <c r="CN155" i="4"/>
  <c r="CN157" i="4" s="1"/>
  <c r="CN113" i="4"/>
  <c r="CN165" i="4" s="1"/>
  <c r="CP179" i="4"/>
  <c r="CO121" i="4"/>
  <c r="CO123" i="4" s="1"/>
  <c r="CO173" i="4" s="1"/>
  <c r="BX159" i="4"/>
  <c r="BV153" i="4"/>
  <c r="CO99" i="4"/>
  <c r="CO113" i="4" s="1"/>
  <c r="BX149" i="4"/>
  <c r="BX151" i="4" s="1"/>
  <c r="BY81" i="4"/>
  <c r="BY207" i="4" s="1"/>
  <c r="BZ63" i="4"/>
  <c r="BX131" i="4"/>
  <c r="BY127" i="4"/>
  <c r="BY125" i="4"/>
  <c r="BY85" i="4"/>
  <c r="BY209" i="4" s="1"/>
  <c r="BY77" i="4"/>
  <c r="BY205" i="4" s="1"/>
  <c r="BY129" i="4"/>
  <c r="BZ67" i="4"/>
  <c r="CO73" i="4"/>
  <c r="CO155" i="4" s="1"/>
  <c r="CP107" i="4"/>
  <c r="CP117" i="4"/>
  <c r="DJ91" i="4"/>
  <c r="DJ161" i="4" s="1"/>
  <c r="DJ111" i="4"/>
  <c r="CP101" i="4"/>
  <c r="CO37" i="4"/>
  <c r="CP33" i="4"/>
  <c r="CQ95" i="4"/>
  <c r="CQ103" i="4"/>
  <c r="CP97" i="4"/>
  <c r="CP93" i="4"/>
  <c r="CQ83" i="4"/>
  <c r="CQ87" i="4"/>
  <c r="CQ31" i="4"/>
  <c r="CQ79" i="4"/>
  <c r="CP71" i="4"/>
  <c r="CP75" i="4" s="1"/>
  <c r="CP69" i="4"/>
  <c r="CQ51" i="4"/>
  <c r="CA55" i="4" s="1"/>
  <c r="DK35" i="4"/>
  <c r="DK43" i="4" s="1"/>
  <c r="DK45" i="4" s="1"/>
  <c r="DK177" i="4" s="1"/>
  <c r="CR25" i="4"/>
  <c r="CS23" i="4"/>
  <c r="CO157" i="4" l="1"/>
  <c r="DJ163" i="4"/>
  <c r="CO165" i="4"/>
  <c r="CO167" i="4" s="1"/>
  <c r="CO175" i="4"/>
  <c r="CN167" i="4"/>
  <c r="CN147" i="4"/>
  <c r="CN115" i="4"/>
  <c r="BX139" i="4"/>
  <c r="BX141" i="4"/>
  <c r="BX143" i="4" s="1"/>
  <c r="BW143" i="4"/>
  <c r="U54" i="9"/>
  <c r="BY223" i="4"/>
  <c r="BY221" i="4"/>
  <c r="CJ213" i="4"/>
  <c r="BY219" i="4"/>
  <c r="U66" i="9"/>
  <c r="U64" i="9"/>
  <c r="U62" i="9"/>
  <c r="CK49" i="4"/>
  <c r="CL47" i="4"/>
  <c r="CO39" i="4"/>
  <c r="CO41" i="4" s="1"/>
  <c r="CO145" i="4" s="1"/>
  <c r="CM27" i="4"/>
  <c r="CL29" i="4"/>
  <c r="CL211" i="4" s="1"/>
  <c r="BY135" i="4"/>
  <c r="BY137" i="4" s="1"/>
  <c r="BY141" i="4" s="1"/>
  <c r="CQ179" i="4"/>
  <c r="CO115" i="4"/>
  <c r="CP121" i="4"/>
  <c r="CP123" i="4" s="1"/>
  <c r="CP173" i="4" s="1"/>
  <c r="BY159" i="4"/>
  <c r="BW153" i="4"/>
  <c r="CP99" i="4"/>
  <c r="CP113" i="4" s="1"/>
  <c r="BY149" i="4"/>
  <c r="BY151" i="4" s="1"/>
  <c r="CA63" i="4"/>
  <c r="BZ129" i="4"/>
  <c r="CA67" i="4"/>
  <c r="BZ127" i="4"/>
  <c r="BZ77" i="4"/>
  <c r="BZ205" i="4" s="1"/>
  <c r="BZ81" i="4"/>
  <c r="BZ207" i="4" s="1"/>
  <c r="BZ85" i="4"/>
  <c r="CA59" i="4"/>
  <c r="CA133" i="4" s="1"/>
  <c r="BY131" i="4"/>
  <c r="BZ125" i="4"/>
  <c r="CQ107" i="4"/>
  <c r="CP73" i="4"/>
  <c r="CQ117" i="4"/>
  <c r="DK91" i="4"/>
  <c r="DK161" i="4" s="1"/>
  <c r="DK111" i="4"/>
  <c r="CP37" i="4"/>
  <c r="CQ101" i="4"/>
  <c r="CQ33" i="4"/>
  <c r="CR95" i="4"/>
  <c r="CR103" i="4"/>
  <c r="CQ97" i="4"/>
  <c r="CQ93" i="4"/>
  <c r="CR83" i="4"/>
  <c r="CR87" i="4"/>
  <c r="CR31" i="4"/>
  <c r="CR79" i="4"/>
  <c r="CQ71" i="4"/>
  <c r="CQ75" i="4" s="1"/>
  <c r="CQ69" i="4"/>
  <c r="CR51" i="4"/>
  <c r="CB55" i="4" s="1"/>
  <c r="DL35" i="4"/>
  <c r="DL43" i="4" s="1"/>
  <c r="DL45" i="4" s="1"/>
  <c r="DL177" i="4" s="1"/>
  <c r="CS25" i="4"/>
  <c r="CT23" i="4"/>
  <c r="CP165" i="4" l="1"/>
  <c r="CP167" i="4" s="1"/>
  <c r="CP175" i="4"/>
  <c r="CN169" i="4"/>
  <c r="DK163" i="4"/>
  <c r="CO147" i="4"/>
  <c r="BZ221" i="4"/>
  <c r="BZ223" i="4"/>
  <c r="CA127" i="4"/>
  <c r="T19" i="9" s="1"/>
  <c r="CK213" i="4"/>
  <c r="BZ209" i="4"/>
  <c r="BZ219" i="4"/>
  <c r="V60" i="9"/>
  <c r="CL49" i="4"/>
  <c r="CM47" i="4"/>
  <c r="CP39" i="4"/>
  <c r="CP41" i="4" s="1"/>
  <c r="CP145" i="4" s="1"/>
  <c r="CN27" i="4"/>
  <c r="CM29" i="4"/>
  <c r="CM211" i="4" s="1"/>
  <c r="U28" i="9" s="1"/>
  <c r="BY143" i="4"/>
  <c r="BY139" i="4"/>
  <c r="BZ135" i="4"/>
  <c r="BZ137" i="4" s="1"/>
  <c r="CP155" i="4"/>
  <c r="CP157" i="4" s="1"/>
  <c r="CR179" i="4"/>
  <c r="CQ121" i="4"/>
  <c r="CQ123" i="4" s="1"/>
  <c r="CQ173" i="4" s="1"/>
  <c r="CP115" i="4"/>
  <c r="BZ159" i="4"/>
  <c r="BX153" i="4"/>
  <c r="CQ99" i="4"/>
  <c r="CQ113" i="4" s="1"/>
  <c r="CQ165" i="4" s="1"/>
  <c r="BZ149" i="4"/>
  <c r="BZ151" i="4" s="1"/>
  <c r="T52" i="9"/>
  <c r="CA77" i="4"/>
  <c r="CA205" i="4" s="1"/>
  <c r="BZ131" i="4"/>
  <c r="CB59" i="4"/>
  <c r="CB133" i="4" s="1"/>
  <c r="CB67" i="4"/>
  <c r="CA125" i="4"/>
  <c r="T17" i="9" s="1"/>
  <c r="CA85" i="4"/>
  <c r="CA209" i="4" s="1"/>
  <c r="CA129" i="4"/>
  <c r="T21" i="9" s="1"/>
  <c r="CB63" i="4"/>
  <c r="CA81" i="4"/>
  <c r="CA207" i="4" s="1"/>
  <c r="CR107" i="4"/>
  <c r="CQ73" i="4"/>
  <c r="CQ155" i="4" s="1"/>
  <c r="CR117" i="4"/>
  <c r="DL91" i="4"/>
  <c r="DL161" i="4" s="1"/>
  <c r="DL111" i="4"/>
  <c r="CQ37" i="4"/>
  <c r="CR101" i="4"/>
  <c r="CR33" i="4"/>
  <c r="CS95" i="4"/>
  <c r="CS103" i="4"/>
  <c r="CR97" i="4"/>
  <c r="CR93" i="4"/>
  <c r="CS83" i="4"/>
  <c r="CS87" i="4"/>
  <c r="CS31" i="4"/>
  <c r="CS79" i="4"/>
  <c r="CR71" i="4"/>
  <c r="CR75" i="4" s="1"/>
  <c r="CR69" i="4"/>
  <c r="CS51" i="4"/>
  <c r="DM35" i="4"/>
  <c r="DM43" i="4" s="1"/>
  <c r="DM45" i="4" s="1"/>
  <c r="DM177" i="4" s="1"/>
  <c r="CT25" i="4"/>
  <c r="CU23" i="4"/>
  <c r="DL163" i="4" l="1"/>
  <c r="CQ167" i="4"/>
  <c r="CQ157" i="4"/>
  <c r="CN171" i="4"/>
  <c r="CQ175" i="4"/>
  <c r="CO169" i="4"/>
  <c r="CP169" i="4" s="1"/>
  <c r="BZ139" i="4"/>
  <c r="BZ141" i="4"/>
  <c r="BZ143" i="4" s="1"/>
  <c r="CA223" i="4"/>
  <c r="CA221" i="4"/>
  <c r="CL213" i="4"/>
  <c r="CA219" i="4"/>
  <c r="CP147" i="4"/>
  <c r="CM49" i="4"/>
  <c r="CN47" i="4"/>
  <c r="CQ39" i="4"/>
  <c r="CQ41" i="4" s="1"/>
  <c r="CQ145" i="4" s="1"/>
  <c r="CO27" i="4"/>
  <c r="CN29" i="4"/>
  <c r="CN211" i="4" s="1"/>
  <c r="CA135" i="4"/>
  <c r="CA137" i="4" s="1"/>
  <c r="CA141" i="4" s="1"/>
  <c r="CS179" i="4"/>
  <c r="CQ115" i="4"/>
  <c r="CR121" i="4"/>
  <c r="CR123" i="4" s="1"/>
  <c r="CR173" i="4" s="1"/>
  <c r="CA159" i="4"/>
  <c r="BY153" i="4"/>
  <c r="CR99" i="4"/>
  <c r="CA149" i="4"/>
  <c r="CA151" i="4" s="1"/>
  <c r="CB125" i="4"/>
  <c r="CA131" i="4"/>
  <c r="CB81" i="4"/>
  <c r="CB127" i="4"/>
  <c r="CS107" i="4"/>
  <c r="CC55" i="4"/>
  <c r="CB77" i="4"/>
  <c r="CB85" i="4"/>
  <c r="CB129" i="4"/>
  <c r="CR73" i="4"/>
  <c r="CR155" i="4" s="1"/>
  <c r="CS117" i="4"/>
  <c r="DM91" i="4"/>
  <c r="DM161" i="4" s="1"/>
  <c r="DM111" i="4"/>
  <c r="CR37" i="4"/>
  <c r="CS101" i="4"/>
  <c r="CS33" i="4"/>
  <c r="CT95" i="4"/>
  <c r="CT103" i="4"/>
  <c r="CS97" i="4"/>
  <c r="CS93" i="4"/>
  <c r="CT83" i="4"/>
  <c r="CT87" i="4"/>
  <c r="CT31" i="4"/>
  <c r="CT79" i="4"/>
  <c r="CS71" i="4"/>
  <c r="CS75" i="4" s="1"/>
  <c r="CS69" i="4"/>
  <c r="CT51" i="4"/>
  <c r="DN35" i="4"/>
  <c r="DN43" i="4" s="1"/>
  <c r="DN45" i="4" s="1"/>
  <c r="DN177" i="4" s="1"/>
  <c r="CU25" i="4"/>
  <c r="CV23" i="4"/>
  <c r="CP171" i="4" l="1"/>
  <c r="CR175" i="4"/>
  <c r="CO171" i="4"/>
  <c r="DM163" i="4"/>
  <c r="CQ169" i="4"/>
  <c r="CQ171" i="4" s="1"/>
  <c r="CR157" i="4"/>
  <c r="T34" i="9"/>
  <c r="T72" i="9"/>
  <c r="CB223" i="4"/>
  <c r="CB221" i="4"/>
  <c r="CM213" i="4"/>
  <c r="U30" i="9" s="1"/>
  <c r="CB219" i="4"/>
  <c r="CQ147" i="4"/>
  <c r="CA143" i="4"/>
  <c r="T37" i="7"/>
  <c r="T60" i="5"/>
  <c r="T15" i="9"/>
  <c r="CN49" i="4"/>
  <c r="CO47" i="4"/>
  <c r="CR39" i="4"/>
  <c r="CR41" i="4" s="1"/>
  <c r="CR145" i="4" s="1"/>
  <c r="CP27" i="4"/>
  <c r="CO29" i="4"/>
  <c r="CO211" i="4" s="1"/>
  <c r="CA139" i="4"/>
  <c r="T43" i="9" s="1"/>
  <c r="CB207" i="4"/>
  <c r="CB209" i="4"/>
  <c r="CB205" i="4"/>
  <c r="CR113" i="4"/>
  <c r="CB135" i="4"/>
  <c r="CT179" i="4"/>
  <c r="CS121" i="4"/>
  <c r="CS123" i="4" s="1"/>
  <c r="CS173" i="4" s="1"/>
  <c r="CB159" i="4"/>
  <c r="BZ153" i="4"/>
  <c r="CS99" i="4"/>
  <c r="CS113" i="4" s="1"/>
  <c r="CB149" i="4"/>
  <c r="CB151" i="4" s="1"/>
  <c r="CB131" i="4"/>
  <c r="CC63" i="4"/>
  <c r="CC67" i="4"/>
  <c r="CC59" i="4"/>
  <c r="CC133" i="4" s="1"/>
  <c r="CT107" i="4"/>
  <c r="CD55" i="4"/>
  <c r="CS73" i="4"/>
  <c r="CS155" i="4" s="1"/>
  <c r="CT117" i="4"/>
  <c r="DN91" i="4"/>
  <c r="DN161" i="4" s="1"/>
  <c r="DN111" i="4"/>
  <c r="CT101" i="4"/>
  <c r="CS37" i="4"/>
  <c r="CT33" i="4"/>
  <c r="CU95" i="4"/>
  <c r="CU103" i="4"/>
  <c r="CT97" i="4"/>
  <c r="CT93" i="4"/>
  <c r="CU83" i="4"/>
  <c r="CU87" i="4"/>
  <c r="CU31" i="4"/>
  <c r="CU79" i="4"/>
  <c r="CT71" i="4"/>
  <c r="CT75" i="4" s="1"/>
  <c r="CT69" i="4"/>
  <c r="CU51" i="4"/>
  <c r="DO35" i="4"/>
  <c r="DO43" i="4" s="1"/>
  <c r="DO45" i="4" s="1"/>
  <c r="DO177" i="4" s="1"/>
  <c r="CV25" i="4"/>
  <c r="CW23" i="4"/>
  <c r="CR165" i="4" l="1"/>
  <c r="CR167" i="4" s="1"/>
  <c r="CS175" i="4"/>
  <c r="CS157" i="4"/>
  <c r="DN163" i="4"/>
  <c r="CR115" i="4"/>
  <c r="CR169" i="4" s="1"/>
  <c r="CC223" i="4"/>
  <c r="CC221" i="4"/>
  <c r="CN213" i="4"/>
  <c r="CR147" i="4"/>
  <c r="T41" i="9"/>
  <c r="T68" i="9"/>
  <c r="U46" i="8"/>
  <c r="T56" i="9"/>
  <c r="CO49" i="4"/>
  <c r="CP47" i="4"/>
  <c r="CS39" i="4"/>
  <c r="CS41" i="4" s="1"/>
  <c r="CS145" i="4" s="1"/>
  <c r="CQ27" i="4"/>
  <c r="CP29" i="4"/>
  <c r="CP211" i="4" s="1"/>
  <c r="CB137" i="4"/>
  <c r="CU179" i="4"/>
  <c r="CT121" i="4"/>
  <c r="CT123" i="4" s="1"/>
  <c r="CT173" i="4" s="1"/>
  <c r="CT175" i="4" s="1"/>
  <c r="CS115" i="4"/>
  <c r="CA153" i="4"/>
  <c r="CT99" i="4"/>
  <c r="CT113" i="4" s="1"/>
  <c r="CD63" i="4"/>
  <c r="CC129" i="4"/>
  <c r="CD67" i="4"/>
  <c r="CC127" i="4"/>
  <c r="CC81" i="4"/>
  <c r="CU107" i="4"/>
  <c r="CE55" i="4"/>
  <c r="CC77" i="4"/>
  <c r="CD59" i="4"/>
  <c r="CD133" i="4" s="1"/>
  <c r="CC125" i="4"/>
  <c r="CC85" i="4"/>
  <c r="CT73" i="4"/>
  <c r="CU117" i="4"/>
  <c r="DO91" i="4"/>
  <c r="DO161" i="4" s="1"/>
  <c r="DO111" i="4"/>
  <c r="CU101" i="4"/>
  <c r="CT37" i="4"/>
  <c r="CU33" i="4"/>
  <c r="CV95" i="4"/>
  <c r="CV103" i="4"/>
  <c r="CU97" i="4"/>
  <c r="CU93" i="4"/>
  <c r="CV83" i="4"/>
  <c r="CV87" i="4"/>
  <c r="CV31" i="4"/>
  <c r="CV79" i="4"/>
  <c r="CU71" i="4"/>
  <c r="CU75" i="4" s="1"/>
  <c r="CU69" i="4"/>
  <c r="CV51" i="4"/>
  <c r="DP35" i="4"/>
  <c r="DP43" i="4" s="1"/>
  <c r="DP45" i="4" s="1"/>
  <c r="DP177" i="4" s="1"/>
  <c r="CW25" i="4"/>
  <c r="CX23" i="4"/>
  <c r="CS169" i="4" l="1"/>
  <c r="CS171" i="4" s="1"/>
  <c r="CS165" i="4"/>
  <c r="CR171" i="4"/>
  <c r="DO163" i="4"/>
  <c r="CB141" i="4"/>
  <c r="CB143" i="4" s="1"/>
  <c r="CO213" i="4"/>
  <c r="CD127" i="4"/>
  <c r="CC219" i="4"/>
  <c r="CS147" i="4"/>
  <c r="CP49" i="4"/>
  <c r="CQ47" i="4"/>
  <c r="CT39" i="4"/>
  <c r="CT41" i="4" s="1"/>
  <c r="CT145" i="4" s="1"/>
  <c r="CR27" i="4"/>
  <c r="CQ29" i="4"/>
  <c r="CQ211" i="4" s="1"/>
  <c r="CB139" i="4"/>
  <c r="CC209" i="4"/>
  <c r="CC205" i="4"/>
  <c r="CC207" i="4"/>
  <c r="CC135" i="4"/>
  <c r="CT155" i="4"/>
  <c r="CT157" i="4" s="1"/>
  <c r="CV179" i="4"/>
  <c r="CT115" i="4"/>
  <c r="CU121" i="4"/>
  <c r="CU123" i="4" s="1"/>
  <c r="CU173" i="4" s="1"/>
  <c r="CC159" i="4"/>
  <c r="CB153" i="4"/>
  <c r="CU99" i="4"/>
  <c r="CU113" i="4" s="1"/>
  <c r="CC149" i="4"/>
  <c r="CC151" i="4" s="1"/>
  <c r="CD125" i="4"/>
  <c r="CD77" i="4"/>
  <c r="CD205" i="4" s="1"/>
  <c r="CD85" i="4"/>
  <c r="CD209" i="4" s="1"/>
  <c r="CD81" i="4"/>
  <c r="CD207" i="4" s="1"/>
  <c r="CC131" i="4"/>
  <c r="CE63" i="4"/>
  <c r="CD129" i="4"/>
  <c r="CE59" i="4"/>
  <c r="CE133" i="4" s="1"/>
  <c r="CV107" i="4"/>
  <c r="CF55" i="4"/>
  <c r="CE67" i="4"/>
  <c r="CU73" i="4"/>
  <c r="CU155" i="4" s="1"/>
  <c r="CV117" i="4"/>
  <c r="DP91" i="4"/>
  <c r="DP161" i="4" s="1"/>
  <c r="DP111" i="4"/>
  <c r="CU37" i="4"/>
  <c r="CV101" i="4"/>
  <c r="CV33" i="4"/>
  <c r="CW95" i="4"/>
  <c r="CW103" i="4"/>
  <c r="CV97" i="4"/>
  <c r="CV93" i="4"/>
  <c r="CW83" i="4"/>
  <c r="CW87" i="4"/>
  <c r="CW31" i="4"/>
  <c r="CW79" i="4"/>
  <c r="CV71" i="4"/>
  <c r="CV75" i="4" s="1"/>
  <c r="CV69" i="4"/>
  <c r="CW51" i="4"/>
  <c r="DQ35" i="4"/>
  <c r="DQ43" i="4" s="1"/>
  <c r="DQ45" i="4" s="1"/>
  <c r="DQ177" i="4" s="1"/>
  <c r="CX25" i="4"/>
  <c r="CY23" i="4"/>
  <c r="CT169" i="4" l="1"/>
  <c r="CT171" i="4" s="1"/>
  <c r="CU157" i="4"/>
  <c r="CU175" i="4"/>
  <c r="CT165" i="4"/>
  <c r="CS167" i="4"/>
  <c r="DP163" i="4"/>
  <c r="CD223" i="4"/>
  <c r="CD221" i="4"/>
  <c r="CP213" i="4"/>
  <c r="CT147" i="4"/>
  <c r="CD219" i="4"/>
  <c r="CQ49" i="4"/>
  <c r="CR47" i="4"/>
  <c r="CU39" i="4"/>
  <c r="CU41" i="4" s="1"/>
  <c r="CU145" i="4" s="1"/>
  <c r="CS27" i="4"/>
  <c r="CR29" i="4"/>
  <c r="CR211" i="4" s="1"/>
  <c r="CC137" i="4"/>
  <c r="CC153" i="4"/>
  <c r="CW179" i="4"/>
  <c r="CU115" i="4"/>
  <c r="CU169" i="4" s="1"/>
  <c r="CU171" i="4" s="1"/>
  <c r="CD159" i="4"/>
  <c r="CV99" i="4"/>
  <c r="CV113" i="4" s="1"/>
  <c r="CD149" i="4"/>
  <c r="CD151" i="4" s="1"/>
  <c r="CD131" i="4"/>
  <c r="CD135" i="4"/>
  <c r="CD137" i="4" s="1"/>
  <c r="CW107" i="4"/>
  <c r="CG55" i="4"/>
  <c r="CG59" i="4" s="1"/>
  <c r="CE127" i="4"/>
  <c r="CE81" i="4"/>
  <c r="CE85" i="4"/>
  <c r="CF59" i="4"/>
  <c r="CF133" i="4" s="1"/>
  <c r="CG133" i="4" s="1"/>
  <c r="CF67" i="4"/>
  <c r="CF129" i="4" s="1"/>
  <c r="CF63" i="4"/>
  <c r="CE77" i="4"/>
  <c r="CE129" i="4"/>
  <c r="CE125" i="4"/>
  <c r="CV73" i="4"/>
  <c r="CV155" i="4" s="1"/>
  <c r="CV157" i="4" s="1"/>
  <c r="CW117" i="4"/>
  <c r="CV121" i="4"/>
  <c r="CV123" i="4" s="1"/>
  <c r="CV173" i="4" s="1"/>
  <c r="DQ91" i="4"/>
  <c r="DQ161" i="4" s="1"/>
  <c r="DQ111" i="4"/>
  <c r="CW101" i="4"/>
  <c r="CV37" i="4"/>
  <c r="CW33" i="4"/>
  <c r="CX95" i="4"/>
  <c r="CX103" i="4"/>
  <c r="CW97" i="4"/>
  <c r="CW93" i="4"/>
  <c r="CX83" i="4"/>
  <c r="CX87" i="4"/>
  <c r="CX31" i="4"/>
  <c r="CX79" i="4"/>
  <c r="CW71" i="4"/>
  <c r="CW75" i="4" s="1"/>
  <c r="CW69" i="4"/>
  <c r="CX51" i="4"/>
  <c r="DR35" i="4"/>
  <c r="DR43" i="4" s="1"/>
  <c r="DR45" i="4" s="1"/>
  <c r="DR177" i="4" s="1"/>
  <c r="CY25" i="4"/>
  <c r="CZ23" i="4"/>
  <c r="DQ163" i="4" l="1"/>
  <c r="CU165" i="4"/>
  <c r="CV165" i="4" s="1"/>
  <c r="CT167" i="4"/>
  <c r="CV175" i="4"/>
  <c r="CD141" i="4"/>
  <c r="CC141" i="4"/>
  <c r="CC143" i="4" s="1"/>
  <c r="CE205" i="4"/>
  <c r="CE223" i="4"/>
  <c r="CE221" i="4"/>
  <c r="CE209" i="4"/>
  <c r="CQ213" i="4"/>
  <c r="CU147" i="4"/>
  <c r="CE219" i="4"/>
  <c r="CR49" i="4"/>
  <c r="CS47" i="4"/>
  <c r="CV39" i="4"/>
  <c r="CV41" i="4" s="1"/>
  <c r="CV145" i="4" s="1"/>
  <c r="CT27" i="4"/>
  <c r="CS29" i="4"/>
  <c r="CS211" i="4" s="1"/>
  <c r="CC139" i="4"/>
  <c r="CE207" i="4"/>
  <c r="CD153" i="4"/>
  <c r="CX179" i="4"/>
  <c r="V32" i="9"/>
  <c r="CV115" i="4"/>
  <c r="CV169" i="4" s="1"/>
  <c r="CW121" i="4"/>
  <c r="CW123" i="4" s="1"/>
  <c r="CW173" i="4" s="1"/>
  <c r="CE159" i="4"/>
  <c r="CW99" i="4"/>
  <c r="CW113" i="4" s="1"/>
  <c r="CE149" i="4"/>
  <c r="CE151" i="4" s="1"/>
  <c r="CD139" i="4"/>
  <c r="CE135" i="4"/>
  <c r="CE137" i="4" s="1"/>
  <c r="CE141" i="4" s="1"/>
  <c r="CE131" i="4"/>
  <c r="CG67" i="4"/>
  <c r="CG129" i="4" s="1"/>
  <c r="CX107" i="4"/>
  <c r="CH55" i="4"/>
  <c r="CF127" i="4"/>
  <c r="CF125" i="4"/>
  <c r="CF77" i="4"/>
  <c r="CF85" i="4"/>
  <c r="CG63" i="4"/>
  <c r="CF81" i="4"/>
  <c r="CF207" i="4" s="1"/>
  <c r="CW73" i="4"/>
  <c r="CW155" i="4" s="1"/>
  <c r="CW157" i="4" s="1"/>
  <c r="CX117" i="4"/>
  <c r="DR91" i="4"/>
  <c r="DR161" i="4" s="1"/>
  <c r="DR111" i="4"/>
  <c r="CX101" i="4"/>
  <c r="CW37" i="4"/>
  <c r="CX33" i="4"/>
  <c r="CY95" i="4"/>
  <c r="CY103" i="4"/>
  <c r="CX97" i="4"/>
  <c r="CX93" i="4"/>
  <c r="CY83" i="4"/>
  <c r="CY87" i="4"/>
  <c r="CY31" i="4"/>
  <c r="CY79" i="4"/>
  <c r="CX71" i="4"/>
  <c r="CX75" i="4" s="1"/>
  <c r="CX69" i="4"/>
  <c r="CY51" i="4"/>
  <c r="DS35" i="4"/>
  <c r="DS43" i="4" s="1"/>
  <c r="DS45" i="4" s="1"/>
  <c r="DS177" i="4" s="1"/>
  <c r="CZ25" i="4"/>
  <c r="DA23" i="4"/>
  <c r="CV167" i="4" l="1"/>
  <c r="CW165" i="4"/>
  <c r="CV171" i="4"/>
  <c r="DR163" i="4"/>
  <c r="CU167" i="4"/>
  <c r="CW175" i="4"/>
  <c r="CF223" i="4"/>
  <c r="CF221" i="4"/>
  <c r="CG127" i="4"/>
  <c r="CR213" i="4"/>
  <c r="CF219" i="4"/>
  <c r="CV147" i="4"/>
  <c r="CS49" i="4"/>
  <c r="CT47" i="4"/>
  <c r="CW39" i="4"/>
  <c r="CW41" i="4" s="1"/>
  <c r="CW145" i="4" s="1"/>
  <c r="CU27" i="4"/>
  <c r="CT29" i="4"/>
  <c r="CT211" i="4" s="1"/>
  <c r="CF209" i="4"/>
  <c r="CF205" i="4"/>
  <c r="CE153" i="4"/>
  <c r="CY179" i="4"/>
  <c r="CW115" i="4"/>
  <c r="CW169" i="4" s="1"/>
  <c r="CX121" i="4"/>
  <c r="CX123" i="4" s="1"/>
  <c r="CX173" i="4" s="1"/>
  <c r="CF159" i="4"/>
  <c r="CX99" i="4"/>
  <c r="CX113" i="4" s="1"/>
  <c r="CF149" i="4"/>
  <c r="CF151" i="4" s="1"/>
  <c r="CD143" i="4"/>
  <c r="CE139" i="4"/>
  <c r="CE143" i="4"/>
  <c r="CF131" i="4"/>
  <c r="CF135" i="4"/>
  <c r="CF137" i="4" s="1"/>
  <c r="CF141" i="4" s="1"/>
  <c r="CG81" i="4"/>
  <c r="CG207" i="4" s="1"/>
  <c r="CY107" i="4"/>
  <c r="CI55" i="4"/>
  <c r="CI59" i="4" s="1"/>
  <c r="CG85" i="4"/>
  <c r="CG77" i="4"/>
  <c r="CG205" i="4" s="1"/>
  <c r="CH67" i="4"/>
  <c r="CG125" i="4"/>
  <c r="CH59" i="4"/>
  <c r="CH133" i="4" s="1"/>
  <c r="CH63" i="4"/>
  <c r="CX73" i="4"/>
  <c r="CX155" i="4" s="1"/>
  <c r="CX157" i="4" s="1"/>
  <c r="CY117" i="4"/>
  <c r="DS91" i="4"/>
  <c r="DS161" i="4" s="1"/>
  <c r="DS111" i="4"/>
  <c r="CY101" i="4"/>
  <c r="CX37" i="4"/>
  <c r="CY33" i="4"/>
  <c r="CZ95" i="4"/>
  <c r="CZ103" i="4"/>
  <c r="CY97" i="4"/>
  <c r="CY93" i="4"/>
  <c r="CZ83" i="4"/>
  <c r="CZ87" i="4"/>
  <c r="CZ31" i="4"/>
  <c r="CZ79" i="4"/>
  <c r="CY71" i="4"/>
  <c r="CY75" i="4" s="1"/>
  <c r="CY69" i="4"/>
  <c r="CZ51" i="4"/>
  <c r="DT35" i="4"/>
  <c r="DT43" i="4" s="1"/>
  <c r="DT45" i="4" s="1"/>
  <c r="DT177" i="4" s="1"/>
  <c r="DA25" i="4"/>
  <c r="DB23" i="4"/>
  <c r="CI133" i="4" l="1"/>
  <c r="CX165" i="4"/>
  <c r="CX167" i="4" s="1"/>
  <c r="CW171" i="4"/>
  <c r="CX175" i="4"/>
  <c r="DS163" i="4"/>
  <c r="CW167" i="4"/>
  <c r="CG223" i="4"/>
  <c r="CG221" i="4"/>
  <c r="CH127" i="4"/>
  <c r="CS213" i="4"/>
  <c r="CG131" i="4"/>
  <c r="CG209" i="4"/>
  <c r="CG219" i="4"/>
  <c r="CW147" i="4"/>
  <c r="W60" i="9"/>
  <c r="CT49" i="4"/>
  <c r="CU47" i="4"/>
  <c r="CX39" i="4"/>
  <c r="CX41" i="4" s="1"/>
  <c r="CX145" i="4" s="1"/>
  <c r="CV27" i="4"/>
  <c r="CU29" i="4"/>
  <c r="CU211" i="4" s="1"/>
  <c r="CG135" i="4"/>
  <c r="CF153" i="4"/>
  <c r="CZ179" i="4"/>
  <c r="CX115" i="4"/>
  <c r="CX169" i="4" s="1"/>
  <c r="CY121" i="4"/>
  <c r="CY123" i="4" s="1"/>
  <c r="CY173" i="4" s="1"/>
  <c r="CG159" i="4"/>
  <c r="CY99" i="4"/>
  <c r="CY113" i="4" s="1"/>
  <c r="CG149" i="4"/>
  <c r="CG151" i="4" s="1"/>
  <c r="CF139" i="4"/>
  <c r="CH85" i="4"/>
  <c r="CH209" i="4" s="1"/>
  <c r="CI67" i="4"/>
  <c r="CH125" i="4"/>
  <c r="CZ107" i="4"/>
  <c r="CJ55" i="4"/>
  <c r="CH129" i="4"/>
  <c r="CH77" i="4"/>
  <c r="CH205" i="4" s="1"/>
  <c r="CI63" i="4"/>
  <c r="CH81" i="4"/>
  <c r="CH207" i="4" s="1"/>
  <c r="CY73" i="4"/>
  <c r="CY155" i="4" s="1"/>
  <c r="CY157" i="4" s="1"/>
  <c r="CZ117" i="4"/>
  <c r="DT91" i="4"/>
  <c r="DT161" i="4" s="1"/>
  <c r="DT111" i="4"/>
  <c r="CY37" i="4"/>
  <c r="CZ101" i="4"/>
  <c r="CZ33" i="4"/>
  <c r="DA95" i="4"/>
  <c r="DA103" i="4"/>
  <c r="CZ97" i="4"/>
  <c r="CZ93" i="4"/>
  <c r="DA83" i="4"/>
  <c r="DA87" i="4"/>
  <c r="DA31" i="4"/>
  <c r="DA79" i="4"/>
  <c r="CZ71" i="4"/>
  <c r="CZ75" i="4" s="1"/>
  <c r="CZ69" i="4"/>
  <c r="DA51" i="4"/>
  <c r="DU35" i="4"/>
  <c r="DU43" i="4" s="1"/>
  <c r="DU45" i="4" s="1"/>
  <c r="DU177" i="4" s="1"/>
  <c r="DB25" i="4"/>
  <c r="DC23" i="4"/>
  <c r="CY165" i="4" l="1"/>
  <c r="CY167" i="4" s="1"/>
  <c r="DT163" i="4"/>
  <c r="CY175" i="4"/>
  <c r="CX171" i="4"/>
  <c r="V58" i="9"/>
  <c r="CH221" i="4"/>
  <c r="CH223" i="4"/>
  <c r="CI127" i="4"/>
  <c r="CT213" i="4"/>
  <c r="CH219" i="4"/>
  <c r="CX147" i="4"/>
  <c r="CU49" i="4"/>
  <c r="CV47" i="4"/>
  <c r="CY39" i="4"/>
  <c r="CY41" i="4" s="1"/>
  <c r="CY145" i="4" s="1"/>
  <c r="CW27" i="4"/>
  <c r="CV29" i="4"/>
  <c r="CV211" i="4" s="1"/>
  <c r="CG137" i="4"/>
  <c r="CG153" i="4"/>
  <c r="DA179" i="4"/>
  <c r="CY115" i="4"/>
  <c r="CY169" i="4" s="1"/>
  <c r="CZ121" i="4"/>
  <c r="CZ123" i="4" s="1"/>
  <c r="CZ173" i="4" s="1"/>
  <c r="CZ175" i="4" s="1"/>
  <c r="CH159" i="4"/>
  <c r="CZ99" i="4"/>
  <c r="CH149" i="4"/>
  <c r="CH151" i="4" s="1"/>
  <c r="CF143" i="4"/>
  <c r="CH135" i="4"/>
  <c r="CH137" i="4" s="1"/>
  <c r="CJ63" i="4"/>
  <c r="CI129" i="4"/>
  <c r="CI81" i="4"/>
  <c r="CI207" i="4" s="1"/>
  <c r="CJ67" i="4"/>
  <c r="CH131" i="4"/>
  <c r="CI85" i="4"/>
  <c r="CJ59" i="4"/>
  <c r="CJ133" i="4" s="1"/>
  <c r="CI125" i="4"/>
  <c r="DA107" i="4"/>
  <c r="CK55" i="4"/>
  <c r="CI77" i="4"/>
  <c r="CI205" i="4" s="1"/>
  <c r="CZ73" i="4"/>
  <c r="DA117" i="4"/>
  <c r="DU91" i="4"/>
  <c r="DU161" i="4" s="1"/>
  <c r="DU111" i="4"/>
  <c r="CZ37" i="4"/>
  <c r="DA101" i="4"/>
  <c r="DA33" i="4"/>
  <c r="DB95" i="4"/>
  <c r="DB103" i="4"/>
  <c r="DA97" i="4"/>
  <c r="DA93" i="4"/>
  <c r="DB83" i="4"/>
  <c r="DB87" i="4"/>
  <c r="DB31" i="4"/>
  <c r="DB79" i="4"/>
  <c r="DA71" i="4"/>
  <c r="DA75" i="4" s="1"/>
  <c r="DA69" i="4"/>
  <c r="DB51" i="4"/>
  <c r="DV35" i="4"/>
  <c r="DV43" i="4" s="1"/>
  <c r="DV45" i="4" s="1"/>
  <c r="DV177" i="4" s="1"/>
  <c r="DC25" i="4"/>
  <c r="DD23" i="4"/>
  <c r="DU163" i="4" l="1"/>
  <c r="CY171" i="4"/>
  <c r="CH141" i="4"/>
  <c r="CG141" i="4"/>
  <c r="CG143" i="4" s="1"/>
  <c r="CI221" i="4"/>
  <c r="CI223" i="4"/>
  <c r="CU213" i="4"/>
  <c r="CY147" i="4"/>
  <c r="CI209" i="4"/>
  <c r="CI219" i="4"/>
  <c r="CV49" i="4"/>
  <c r="CW47" i="4"/>
  <c r="CZ39" i="4"/>
  <c r="CZ41" i="4" s="1"/>
  <c r="CZ145" i="4" s="1"/>
  <c r="CX27" i="4"/>
  <c r="CW29" i="4"/>
  <c r="CW211" i="4" s="1"/>
  <c r="CG139" i="4"/>
  <c r="CI135" i="4"/>
  <c r="CI137" i="4" s="1"/>
  <c r="CZ155" i="4"/>
  <c r="CZ157" i="4" s="1"/>
  <c r="CZ113" i="4"/>
  <c r="CZ165" i="4" s="1"/>
  <c r="CH153" i="4"/>
  <c r="DB179" i="4"/>
  <c r="DA121" i="4"/>
  <c r="DA123" i="4" s="1"/>
  <c r="DA173" i="4" s="1"/>
  <c r="DA175" i="4" s="1"/>
  <c r="CI159" i="4"/>
  <c r="DA99" i="4"/>
  <c r="DA113" i="4" s="1"/>
  <c r="CI149" i="4"/>
  <c r="CI151" i="4" s="1"/>
  <c r="CI131" i="4"/>
  <c r="CH139" i="4"/>
  <c r="CJ77" i="4"/>
  <c r="CJ205" i="4" s="1"/>
  <c r="CJ85" i="4"/>
  <c r="CJ209" i="4" s="1"/>
  <c r="CK63" i="4"/>
  <c r="CJ127" i="4"/>
  <c r="DB107" i="4"/>
  <c r="CL55" i="4"/>
  <c r="CK67" i="4"/>
  <c r="CJ81" i="4"/>
  <c r="CJ207" i="4" s="1"/>
  <c r="CJ125" i="4"/>
  <c r="CK59" i="4"/>
  <c r="CK133" i="4" s="1"/>
  <c r="CJ129" i="4"/>
  <c r="DA73" i="4"/>
  <c r="DA155" i="4" s="1"/>
  <c r="DB117" i="4"/>
  <c r="DV91" i="4"/>
  <c r="DV161" i="4" s="1"/>
  <c r="DV111" i="4"/>
  <c r="DA37" i="4"/>
  <c r="DB101" i="4"/>
  <c r="DB33" i="4"/>
  <c r="DC95" i="4"/>
  <c r="DC103" i="4"/>
  <c r="DB97" i="4"/>
  <c r="DB93" i="4"/>
  <c r="DC83" i="4"/>
  <c r="DC87" i="4"/>
  <c r="DC31" i="4"/>
  <c r="DC79" i="4"/>
  <c r="DB71" i="4"/>
  <c r="DB75" i="4" s="1"/>
  <c r="DB69" i="4"/>
  <c r="DC51" i="4"/>
  <c r="DW35" i="4"/>
  <c r="DW43" i="4" s="1"/>
  <c r="DW45" i="4" s="1"/>
  <c r="DW177" i="4" s="1"/>
  <c r="DD25" i="4"/>
  <c r="DE23" i="4"/>
  <c r="DA165" i="4" l="1"/>
  <c r="DA167" i="4" s="1"/>
  <c r="CZ167" i="4"/>
  <c r="DA157" i="4"/>
  <c r="DV163" i="4"/>
  <c r="CZ115" i="4"/>
  <c r="CI139" i="4"/>
  <c r="CI141" i="4"/>
  <c r="CI143" i="4" s="1"/>
  <c r="CJ223" i="4"/>
  <c r="CJ221" i="4"/>
  <c r="CV213" i="4"/>
  <c r="V54" i="9"/>
  <c r="CZ147" i="4"/>
  <c r="CJ219" i="4"/>
  <c r="V66" i="9"/>
  <c r="V64" i="9"/>
  <c r="V62" i="9"/>
  <c r="CW49" i="4"/>
  <c r="CX47" i="4"/>
  <c r="DA39" i="4"/>
  <c r="DA41" i="4" s="1"/>
  <c r="DA145" i="4" s="1"/>
  <c r="CY27" i="4"/>
  <c r="CX29" i="4"/>
  <c r="CX211" i="4" s="1"/>
  <c r="CJ135" i="4"/>
  <c r="CJ137" i="4" s="1"/>
  <c r="CI153" i="4"/>
  <c r="DC179" i="4"/>
  <c r="DA115" i="4"/>
  <c r="DB121" i="4"/>
  <c r="DB123" i="4" s="1"/>
  <c r="DB173" i="4" s="1"/>
  <c r="CJ159" i="4"/>
  <c r="DB99" i="4"/>
  <c r="CJ149" i="4"/>
  <c r="CJ151" i="4" s="1"/>
  <c r="CK85" i="4"/>
  <c r="CK209" i="4" s="1"/>
  <c r="CH143" i="4"/>
  <c r="CK81" i="4"/>
  <c r="CK207" i="4" s="1"/>
  <c r="CK127" i="4"/>
  <c r="CL63" i="4"/>
  <c r="CL67" i="4"/>
  <c r="CK77" i="4"/>
  <c r="CK205" i="4" s="1"/>
  <c r="CJ131" i="4"/>
  <c r="CK129" i="4"/>
  <c r="DC107" i="4"/>
  <c r="CM55" i="4"/>
  <c r="CK125" i="4"/>
  <c r="CL59" i="4"/>
  <c r="CL133" i="4" s="1"/>
  <c r="DB73" i="4"/>
  <c r="DC117" i="4"/>
  <c r="DW91" i="4"/>
  <c r="DW161" i="4" s="1"/>
  <c r="DW111" i="4"/>
  <c r="DB37" i="4"/>
  <c r="DC101" i="4"/>
  <c r="DC33" i="4"/>
  <c r="DD95" i="4"/>
  <c r="DD103" i="4"/>
  <c r="DC97" i="4"/>
  <c r="DC93" i="4"/>
  <c r="DD83" i="4"/>
  <c r="DD87" i="4"/>
  <c r="DD31" i="4"/>
  <c r="DD79" i="4"/>
  <c r="DC71" i="4"/>
  <c r="DC75" i="4" s="1"/>
  <c r="DC69" i="4"/>
  <c r="DD51" i="4"/>
  <c r="DX35" i="4"/>
  <c r="DX43" i="4" s="1"/>
  <c r="DX45" i="4" s="1"/>
  <c r="DX177" i="4" s="1"/>
  <c r="DE25" i="4"/>
  <c r="DF23" i="4"/>
  <c r="DB175" i="4" l="1"/>
  <c r="DW163" i="4"/>
  <c r="CZ169" i="4"/>
  <c r="CZ171" i="4" s="1"/>
  <c r="CJ139" i="4"/>
  <c r="CJ141" i="4"/>
  <c r="CJ143" i="4" s="1"/>
  <c r="CK223" i="4"/>
  <c r="CK221" i="4"/>
  <c r="CW213" i="4"/>
  <c r="DA147" i="4"/>
  <c r="CK219" i="4"/>
  <c r="CX49" i="4"/>
  <c r="CY47" i="4"/>
  <c r="DB39" i="4"/>
  <c r="DB41" i="4" s="1"/>
  <c r="DB145" i="4" s="1"/>
  <c r="CZ27" i="4"/>
  <c r="CY29" i="4"/>
  <c r="CY211" i="4" s="1"/>
  <c r="V28" i="9" s="1"/>
  <c r="DB113" i="4"/>
  <c r="DB155" i="4"/>
  <c r="DB157" i="4" s="1"/>
  <c r="CK135" i="4"/>
  <c r="CK137" i="4" s="1"/>
  <c r="CJ153" i="4"/>
  <c r="DD179" i="4"/>
  <c r="DC121" i="4"/>
  <c r="DC123" i="4" s="1"/>
  <c r="DC173" i="4" s="1"/>
  <c r="CK159" i="4"/>
  <c r="DC99" i="4"/>
  <c r="DC113" i="4" s="1"/>
  <c r="CK149" i="4"/>
  <c r="CK151" i="4" s="1"/>
  <c r="CL125" i="4"/>
  <c r="CL81" i="4"/>
  <c r="CL207" i="4" s="1"/>
  <c r="CK131" i="4"/>
  <c r="CL85" i="4"/>
  <c r="CL209" i="4" s="1"/>
  <c r="DD107" i="4"/>
  <c r="CN55" i="4"/>
  <c r="CN59" i="4" s="1"/>
  <c r="CM67" i="4"/>
  <c r="CM59" i="4"/>
  <c r="CM133" i="4" s="1"/>
  <c r="CN133" i="4" s="1"/>
  <c r="CL77" i="4"/>
  <c r="CL205" i="4" s="1"/>
  <c r="CM63" i="4"/>
  <c r="CL129" i="4"/>
  <c r="CL127" i="4"/>
  <c r="DC73" i="4"/>
  <c r="DC155" i="4" s="1"/>
  <c r="DD117" i="4"/>
  <c r="DX91" i="4"/>
  <c r="DX161" i="4" s="1"/>
  <c r="DX111" i="4"/>
  <c r="DC37" i="4"/>
  <c r="DD101" i="4"/>
  <c r="DD33" i="4"/>
  <c r="DE95" i="4"/>
  <c r="DE103" i="4"/>
  <c r="DD97" i="4"/>
  <c r="DD93" i="4"/>
  <c r="DE83" i="4"/>
  <c r="DE87" i="4"/>
  <c r="DE31" i="4"/>
  <c r="DE79" i="4"/>
  <c r="DD71" i="4"/>
  <c r="DD75" i="4" s="1"/>
  <c r="DD69" i="4"/>
  <c r="DE51" i="4"/>
  <c r="DY35" i="4"/>
  <c r="DY43" i="4" s="1"/>
  <c r="DY45" i="4" s="1"/>
  <c r="DY177" i="4" s="1"/>
  <c r="DF25" i="4"/>
  <c r="DG23" i="4"/>
  <c r="DC157" i="4" l="1"/>
  <c r="DA169" i="4"/>
  <c r="DA171" i="4" s="1"/>
  <c r="DX163" i="4"/>
  <c r="DB115" i="4"/>
  <c r="DB165" i="4"/>
  <c r="DB167" i="4" s="1"/>
  <c r="DC175" i="4"/>
  <c r="CK139" i="4"/>
  <c r="CK141" i="4"/>
  <c r="CK143" i="4" s="1"/>
  <c r="CL221" i="4"/>
  <c r="CL223" i="4"/>
  <c r="CX213" i="4"/>
  <c r="CM127" i="4"/>
  <c r="U19" i="9" s="1"/>
  <c r="DB147" i="4"/>
  <c r="CL219" i="4"/>
  <c r="CY49" i="4"/>
  <c r="CZ47" i="4"/>
  <c r="DC39" i="4"/>
  <c r="DC41" i="4" s="1"/>
  <c r="DC145" i="4" s="1"/>
  <c r="DA27" i="4"/>
  <c r="CZ29" i="4"/>
  <c r="CZ211" i="4" s="1"/>
  <c r="CK153" i="4"/>
  <c r="DE179" i="4"/>
  <c r="DC115" i="4"/>
  <c r="DD121" i="4"/>
  <c r="DD123" i="4" s="1"/>
  <c r="DD173" i="4" s="1"/>
  <c r="DD175" i="4" s="1"/>
  <c r="CL159" i="4"/>
  <c r="DD99" i="4"/>
  <c r="DD113" i="4" s="1"/>
  <c r="CL149" i="4"/>
  <c r="CL151" i="4" s="1"/>
  <c r="U52" i="9"/>
  <c r="CL135" i="4"/>
  <c r="CL137" i="4" s="1"/>
  <c r="CL141" i="4" s="1"/>
  <c r="CL131" i="4"/>
  <c r="DE107" i="4"/>
  <c r="CO55" i="4"/>
  <c r="CN63" i="4"/>
  <c r="CM77" i="4"/>
  <c r="CM205" i="4" s="1"/>
  <c r="CM129" i="4"/>
  <c r="U21" i="9" s="1"/>
  <c r="CM85" i="4"/>
  <c r="CM209" i="4" s="1"/>
  <c r="CM81" i="4"/>
  <c r="CM207" i="4" s="1"/>
  <c r="CM125" i="4"/>
  <c r="U17" i="9" s="1"/>
  <c r="CN67" i="4"/>
  <c r="DD73" i="4"/>
  <c r="DE117" i="4"/>
  <c r="DY91" i="4"/>
  <c r="DY161" i="4" s="1"/>
  <c r="DY111" i="4"/>
  <c r="DD37" i="4"/>
  <c r="DE101" i="4"/>
  <c r="DE33" i="4"/>
  <c r="DF95" i="4"/>
  <c r="DF103" i="4"/>
  <c r="DE97" i="4"/>
  <c r="DE93" i="4"/>
  <c r="DF83" i="4"/>
  <c r="DF87" i="4"/>
  <c r="DF31" i="4"/>
  <c r="DF79" i="4"/>
  <c r="DE71" i="4"/>
  <c r="DE75" i="4" s="1"/>
  <c r="DE69" i="4"/>
  <c r="DF51" i="4"/>
  <c r="DZ35" i="4"/>
  <c r="DZ43" i="4" s="1"/>
  <c r="DZ45" i="4" s="1"/>
  <c r="DZ177" i="4" s="1"/>
  <c r="DG25" i="4"/>
  <c r="DH23" i="4"/>
  <c r="DB169" i="4" l="1"/>
  <c r="DC169" i="4" s="1"/>
  <c r="DY163" i="4"/>
  <c r="DC165" i="4"/>
  <c r="DD155" i="4"/>
  <c r="DD157" i="4" s="1"/>
  <c r="CM223" i="4"/>
  <c r="CM221" i="4"/>
  <c r="CY213" i="4"/>
  <c r="V30" i="9" s="1"/>
  <c r="CN125" i="4"/>
  <c r="DC147" i="4"/>
  <c r="CM219" i="4"/>
  <c r="CZ49" i="4"/>
  <c r="DA47" i="4"/>
  <c r="DD39" i="4"/>
  <c r="DD41" i="4" s="1"/>
  <c r="DD145" i="4" s="1"/>
  <c r="DB27" i="4"/>
  <c r="DA29" i="4"/>
  <c r="DA211" i="4" s="1"/>
  <c r="CM135" i="4"/>
  <c r="CM137" i="4" s="1"/>
  <c r="CN129" i="4"/>
  <c r="CL153" i="4"/>
  <c r="DF179" i="4"/>
  <c r="DE121" i="4"/>
  <c r="DE123" i="4" s="1"/>
  <c r="DE173" i="4" s="1"/>
  <c r="DD115" i="4"/>
  <c r="CM159" i="4"/>
  <c r="DE99" i="4"/>
  <c r="DE113" i="4" s="1"/>
  <c r="CM149" i="4"/>
  <c r="CM151" i="4" s="1"/>
  <c r="CL139" i="4"/>
  <c r="CL143" i="4"/>
  <c r="CM131" i="4"/>
  <c r="CN81" i="4"/>
  <c r="DF107" i="4"/>
  <c r="CP55" i="4"/>
  <c r="CN85" i="4"/>
  <c r="CO59" i="4"/>
  <c r="CO133" i="4" s="1"/>
  <c r="CO63" i="4"/>
  <c r="CO67" i="4"/>
  <c r="CN77" i="4"/>
  <c r="CN127" i="4"/>
  <c r="DE73" i="4"/>
  <c r="DE155" i="4" s="1"/>
  <c r="DF117" i="4"/>
  <c r="DZ91" i="4"/>
  <c r="DZ161" i="4" s="1"/>
  <c r="DZ111" i="4"/>
  <c r="DE37" i="4"/>
  <c r="DF101" i="4"/>
  <c r="DF33" i="4"/>
  <c r="DG95" i="4"/>
  <c r="DG103" i="4"/>
  <c r="DF97" i="4"/>
  <c r="DF93" i="4"/>
  <c r="DG83" i="4"/>
  <c r="DG87" i="4"/>
  <c r="DG31" i="4"/>
  <c r="DG79" i="4"/>
  <c r="DF71" i="4"/>
  <c r="DF75" i="4" s="1"/>
  <c r="DF69" i="4"/>
  <c r="DG51" i="4"/>
  <c r="EA35" i="4"/>
  <c r="EA43" i="4" s="1"/>
  <c r="EA45" i="4" s="1"/>
  <c r="EA177" i="4" s="1"/>
  <c r="DH25" i="4"/>
  <c r="DI23" i="4"/>
  <c r="DD169" i="4" l="1"/>
  <c r="DD171" i="4" s="1"/>
  <c r="DC171" i="4"/>
  <c r="DB171" i="4"/>
  <c r="DC167" i="4"/>
  <c r="DD165" i="4"/>
  <c r="DE175" i="4"/>
  <c r="DE157" i="4"/>
  <c r="DZ163" i="4"/>
  <c r="CM139" i="4"/>
  <c r="U43" i="9" s="1"/>
  <c r="CM141" i="4"/>
  <c r="CM143" i="4" s="1"/>
  <c r="U34" i="9"/>
  <c r="U72" i="9"/>
  <c r="CN223" i="4"/>
  <c r="CN221" i="4"/>
  <c r="CZ213" i="4"/>
  <c r="DD147" i="4"/>
  <c r="CN219" i="4"/>
  <c r="U60" i="5"/>
  <c r="U37" i="7"/>
  <c r="U15" i="9"/>
  <c r="DA49" i="4"/>
  <c r="DB47" i="4"/>
  <c r="DE39" i="4"/>
  <c r="DE41" i="4" s="1"/>
  <c r="DE145" i="4" s="1"/>
  <c r="DC27" i="4"/>
  <c r="DB29" i="4"/>
  <c r="DB211" i="4" s="1"/>
  <c r="CN205" i="4"/>
  <c r="CN209" i="4"/>
  <c r="CN207" i="4"/>
  <c r="CN135" i="4"/>
  <c r="DG179" i="4"/>
  <c r="CN131" i="4"/>
  <c r="DE115" i="4"/>
  <c r="DE169" i="4" s="1"/>
  <c r="DF121" i="4"/>
  <c r="DF123" i="4" s="1"/>
  <c r="DF173" i="4" s="1"/>
  <c r="CN159" i="4"/>
  <c r="DF99" i="4"/>
  <c r="DF113" i="4" s="1"/>
  <c r="CN149" i="4"/>
  <c r="CN151" i="4" s="1"/>
  <c r="CP63" i="4"/>
  <c r="CO77" i="4"/>
  <c r="CO205" i="4" s="1"/>
  <c r="CP59" i="4"/>
  <c r="CP133" i="4" s="1"/>
  <c r="CP67" i="4"/>
  <c r="CO85" i="4"/>
  <c r="CO209" i="4" s="1"/>
  <c r="DG107" i="4"/>
  <c r="CQ55" i="4"/>
  <c r="CO129" i="4"/>
  <c r="CO127" i="4"/>
  <c r="CO81" i="4"/>
  <c r="CO207" i="4" s="1"/>
  <c r="CO125" i="4"/>
  <c r="DF73" i="4"/>
  <c r="DF155" i="4" s="1"/>
  <c r="DG117" i="4"/>
  <c r="EA91" i="4"/>
  <c r="EA161" i="4" s="1"/>
  <c r="EA111" i="4"/>
  <c r="DF37" i="4"/>
  <c r="DG101" i="4"/>
  <c r="DG33" i="4"/>
  <c r="DH95" i="4"/>
  <c r="DH103" i="4"/>
  <c r="DG97" i="4"/>
  <c r="DG93" i="4"/>
  <c r="DH83" i="4"/>
  <c r="DH87" i="4"/>
  <c r="DH31" i="4"/>
  <c r="DH79" i="4"/>
  <c r="DG71" i="4"/>
  <c r="DG75" i="4" s="1"/>
  <c r="DG69" i="4"/>
  <c r="DH51" i="4"/>
  <c r="EB35" i="4"/>
  <c r="EB43" i="4" s="1"/>
  <c r="EB45" i="4" s="1"/>
  <c r="EB177" i="4" s="1"/>
  <c r="DI25" i="4"/>
  <c r="DJ23" i="4"/>
  <c r="DF157" i="4" l="1"/>
  <c r="DF175" i="4"/>
  <c r="DD167" i="4"/>
  <c r="DE171" i="4"/>
  <c r="EA163" i="4"/>
  <c r="DE165" i="4"/>
  <c r="DF165" i="4" s="1"/>
  <c r="U41" i="9"/>
  <c r="CO223" i="4"/>
  <c r="CO221" i="4"/>
  <c r="DA213" i="4"/>
  <c r="CO219" i="4"/>
  <c r="DE147" i="4"/>
  <c r="U68" i="9"/>
  <c r="V46" i="8"/>
  <c r="CM153" i="4"/>
  <c r="U56" i="9"/>
  <c r="DB49" i="4"/>
  <c r="DC47" i="4"/>
  <c r="DF39" i="4"/>
  <c r="DF41" i="4" s="1"/>
  <c r="DF145" i="4" s="1"/>
  <c r="DD27" i="4"/>
  <c r="DC29" i="4"/>
  <c r="DC211" i="4" s="1"/>
  <c r="CN137" i="4"/>
  <c r="CO135" i="4"/>
  <c r="CO137" i="4" s="1"/>
  <c r="CN153" i="4"/>
  <c r="DH179" i="4"/>
  <c r="DF115" i="4"/>
  <c r="DF169" i="4" s="1"/>
  <c r="DG121" i="4"/>
  <c r="DG123" i="4" s="1"/>
  <c r="DG173" i="4" s="1"/>
  <c r="CO159" i="4"/>
  <c r="DG99" i="4"/>
  <c r="DG113" i="4" s="1"/>
  <c r="CO149" i="4"/>
  <c r="CO151" i="4" s="1"/>
  <c r="CP125" i="4"/>
  <c r="CP85" i="4"/>
  <c r="CP209" i="4" s="1"/>
  <c r="CQ67" i="4"/>
  <c r="CO131" i="4"/>
  <c r="CP129" i="4"/>
  <c r="CP127" i="4"/>
  <c r="CP77" i="4"/>
  <c r="CQ63" i="4"/>
  <c r="CP81" i="4"/>
  <c r="CP207" i="4" s="1"/>
  <c r="DH107" i="4"/>
  <c r="CR55" i="4"/>
  <c r="CQ59" i="4"/>
  <c r="CQ133" i="4" s="1"/>
  <c r="DG73" i="4"/>
  <c r="DG155" i="4" s="1"/>
  <c r="DH117" i="4"/>
  <c r="EB91" i="4"/>
  <c r="EB161" i="4" s="1"/>
  <c r="EB111" i="4"/>
  <c r="DG37" i="4"/>
  <c r="DH101" i="4"/>
  <c r="DH33" i="4"/>
  <c r="DI95" i="4"/>
  <c r="DI103" i="4"/>
  <c r="DH97" i="4"/>
  <c r="DH93" i="4"/>
  <c r="DI83" i="4"/>
  <c r="DI87" i="4"/>
  <c r="DI31" i="4"/>
  <c r="DI79" i="4"/>
  <c r="DH71" i="4"/>
  <c r="DH75" i="4" s="1"/>
  <c r="DH69" i="4"/>
  <c r="DI51" i="4"/>
  <c r="EC35" i="4"/>
  <c r="EC43" i="4" s="1"/>
  <c r="EC45" i="4" s="1"/>
  <c r="EC177" i="4" s="1"/>
  <c r="DJ25" i="4"/>
  <c r="DK23" i="4"/>
  <c r="DG175" i="4" l="1"/>
  <c r="DG165" i="4"/>
  <c r="DF171" i="4"/>
  <c r="DF167" i="4"/>
  <c r="EB163" i="4"/>
  <c r="DE167" i="4"/>
  <c r="DG157" i="4"/>
  <c r="CO141" i="4"/>
  <c r="CN141" i="4"/>
  <c r="CN143" i="4" s="1"/>
  <c r="CP223" i="4"/>
  <c r="CP221" i="4"/>
  <c r="CP205" i="4"/>
  <c r="DB213" i="4"/>
  <c r="DF147" i="4"/>
  <c r="CP219" i="4"/>
  <c r="X60" i="9"/>
  <c r="DC49" i="4"/>
  <c r="DD47" i="4"/>
  <c r="DG39" i="4"/>
  <c r="DG41" i="4" s="1"/>
  <c r="DG145" i="4" s="1"/>
  <c r="DE27" i="4"/>
  <c r="DD29" i="4"/>
  <c r="DD211" i="4" s="1"/>
  <c r="CO139" i="4"/>
  <c r="CN139" i="4"/>
  <c r="CQ129" i="4"/>
  <c r="CO153" i="4"/>
  <c r="DI179" i="4"/>
  <c r="DH121" i="4"/>
  <c r="DH123" i="4" s="1"/>
  <c r="DH173" i="4" s="1"/>
  <c r="DG115" i="4"/>
  <c r="DG169" i="4" s="1"/>
  <c r="CP159" i="4"/>
  <c r="DH99" i="4"/>
  <c r="DH113" i="4" s="1"/>
  <c r="CP149" i="4"/>
  <c r="CP151" i="4" s="1"/>
  <c r="CP135" i="4"/>
  <c r="CP131" i="4"/>
  <c r="CQ85" i="4"/>
  <c r="CR59" i="4"/>
  <c r="CR133" i="4" s="1"/>
  <c r="CR63" i="4"/>
  <c r="CQ125" i="4"/>
  <c r="CQ127" i="4"/>
  <c r="CQ77" i="4"/>
  <c r="CQ205" i="4" s="1"/>
  <c r="CR67" i="4"/>
  <c r="DI107" i="4"/>
  <c r="CS55" i="4"/>
  <c r="CQ81" i="4"/>
  <c r="CQ207" i="4" s="1"/>
  <c r="DH73" i="4"/>
  <c r="DH155" i="4" s="1"/>
  <c r="DI117" i="4"/>
  <c r="EC91" i="4"/>
  <c r="EC161" i="4" s="1"/>
  <c r="EC111" i="4"/>
  <c r="DH37" i="4"/>
  <c r="DI101" i="4"/>
  <c r="DI33" i="4"/>
  <c r="DJ95" i="4"/>
  <c r="DJ103" i="4"/>
  <c r="DI97" i="4"/>
  <c r="DI93" i="4"/>
  <c r="DJ83" i="4"/>
  <c r="DJ87" i="4"/>
  <c r="DJ31" i="4"/>
  <c r="DJ79" i="4"/>
  <c r="DI71" i="4"/>
  <c r="DI75" i="4" s="1"/>
  <c r="DI69" i="4"/>
  <c r="DJ51" i="4"/>
  <c r="ED35" i="4"/>
  <c r="ED43" i="4" s="1"/>
  <c r="ED45" i="4" s="1"/>
  <c r="ED177" i="4" s="1"/>
  <c r="DK25" i="4"/>
  <c r="DL23" i="4"/>
  <c r="DH165" i="4" l="1"/>
  <c r="DH167" i="4" s="1"/>
  <c r="DH157" i="4"/>
  <c r="DG171" i="4"/>
  <c r="DH175" i="4"/>
  <c r="DG167" i="4"/>
  <c r="EC163" i="4"/>
  <c r="CQ223" i="4"/>
  <c r="CQ221" i="4"/>
  <c r="DC213" i="4"/>
  <c r="CR127" i="4"/>
  <c r="CQ219" i="4"/>
  <c r="DG147" i="4"/>
  <c r="DD49" i="4"/>
  <c r="DE47" i="4"/>
  <c r="DH39" i="4"/>
  <c r="DH41" i="4" s="1"/>
  <c r="DH145" i="4" s="1"/>
  <c r="DF27" i="4"/>
  <c r="DE29" i="4"/>
  <c r="DE211" i="4" s="1"/>
  <c r="CP137" i="4"/>
  <c r="CO143" i="4"/>
  <c r="CQ209" i="4"/>
  <c r="CQ135" i="4"/>
  <c r="CQ137" i="4" s="1"/>
  <c r="CP153" i="4"/>
  <c r="DJ179" i="4"/>
  <c r="W32" i="9"/>
  <c r="DH115" i="4"/>
  <c r="DH169" i="4" s="1"/>
  <c r="DI121" i="4"/>
  <c r="DI123" i="4" s="1"/>
  <c r="DI173" i="4" s="1"/>
  <c r="CQ159" i="4"/>
  <c r="DI99" i="4"/>
  <c r="DI113" i="4" s="1"/>
  <c r="CQ149" i="4"/>
  <c r="CQ151" i="4" s="1"/>
  <c r="CS67" i="4"/>
  <c r="CS129" i="4" s="1"/>
  <c r="CR129" i="4"/>
  <c r="DJ107" i="4"/>
  <c r="CT55" i="4"/>
  <c r="CT63" i="4" s="1"/>
  <c r="CR77" i="4"/>
  <c r="CS63" i="4"/>
  <c r="CR85" i="4"/>
  <c r="CR209" i="4" s="1"/>
  <c r="CR81" i="4"/>
  <c r="CR207" i="4" s="1"/>
  <c r="CS59" i="4"/>
  <c r="CS133" i="4" s="1"/>
  <c r="CR125" i="4"/>
  <c r="CQ131" i="4"/>
  <c r="DI73" i="4"/>
  <c r="DI155" i="4" s="1"/>
  <c r="DJ117" i="4"/>
  <c r="ED91" i="4"/>
  <c r="ED161" i="4" s="1"/>
  <c r="ED111" i="4"/>
  <c r="DI37" i="4"/>
  <c r="DJ101" i="4"/>
  <c r="DJ33" i="4"/>
  <c r="DK95" i="4"/>
  <c r="DK103" i="4"/>
  <c r="DJ97" i="4"/>
  <c r="DJ93" i="4"/>
  <c r="DK83" i="4"/>
  <c r="DK87" i="4"/>
  <c r="DK31" i="4"/>
  <c r="DK79" i="4"/>
  <c r="DJ71" i="4"/>
  <c r="DJ75" i="4" s="1"/>
  <c r="DJ69" i="4"/>
  <c r="DK51" i="4"/>
  <c r="EE35" i="4"/>
  <c r="EE43" i="4" s="1"/>
  <c r="EE45" i="4" s="1"/>
  <c r="EE177" i="4" s="1"/>
  <c r="DL25" i="4"/>
  <c r="DM23" i="4"/>
  <c r="DI165" i="4" l="1"/>
  <c r="DI167" i="4" s="1"/>
  <c r="DI175" i="4"/>
  <c r="ED163" i="4"/>
  <c r="DH171" i="4"/>
  <c r="DI157" i="4"/>
  <c r="CP141" i="4"/>
  <c r="CP143" i="4" s="1"/>
  <c r="CQ141" i="4"/>
  <c r="CR223" i="4"/>
  <c r="CR221" i="4"/>
  <c r="CR205" i="4"/>
  <c r="DD213" i="4"/>
  <c r="CS127" i="4"/>
  <c r="DH147" i="4"/>
  <c r="CR219" i="4"/>
  <c r="CP139" i="4"/>
  <c r="DE49" i="4"/>
  <c r="DF47" i="4"/>
  <c r="DI39" i="4"/>
  <c r="DI41" i="4" s="1"/>
  <c r="DI145" i="4" s="1"/>
  <c r="DG27" i="4"/>
  <c r="DF29" i="4"/>
  <c r="DF211" i="4" s="1"/>
  <c r="CQ139" i="4"/>
  <c r="CR135" i="4"/>
  <c r="CQ153" i="4"/>
  <c r="DK179" i="4"/>
  <c r="DJ121" i="4"/>
  <c r="DJ123" i="4" s="1"/>
  <c r="DJ173" i="4" s="1"/>
  <c r="DJ175" i="4" s="1"/>
  <c r="DI115" i="4"/>
  <c r="DI169" i="4" s="1"/>
  <c r="CR159" i="4"/>
  <c r="CT127" i="4"/>
  <c r="DJ99" i="4"/>
  <c r="DJ113" i="4" s="1"/>
  <c r="DJ165" i="4" s="1"/>
  <c r="CR149" i="4"/>
  <c r="CR151" i="4" s="1"/>
  <c r="CR131" i="4"/>
  <c r="CS81" i="4"/>
  <c r="CS207" i="4" s="1"/>
  <c r="CT59" i="4"/>
  <c r="CT133" i="4" s="1"/>
  <c r="CS85" i="4"/>
  <c r="CS209" i="4" s="1"/>
  <c r="CT67" i="4"/>
  <c r="DK107" i="4"/>
  <c r="CU55" i="4"/>
  <c r="CU59" i="4" s="1"/>
  <c r="CS77" i="4"/>
  <c r="CS205" i="4" s="1"/>
  <c r="CS125" i="4"/>
  <c r="DJ73" i="4"/>
  <c r="DJ155" i="4" s="1"/>
  <c r="DK117" i="4"/>
  <c r="EE91" i="4"/>
  <c r="EE161" i="4" s="1"/>
  <c r="EE111" i="4"/>
  <c r="DJ37" i="4"/>
  <c r="DK101" i="4"/>
  <c r="DK33" i="4"/>
  <c r="DL95" i="4"/>
  <c r="DL103" i="4"/>
  <c r="DK97" i="4"/>
  <c r="DK93" i="4"/>
  <c r="DL83" i="4"/>
  <c r="DL87" i="4"/>
  <c r="DL31" i="4"/>
  <c r="DL79" i="4"/>
  <c r="DK71" i="4"/>
  <c r="DK75" i="4" s="1"/>
  <c r="DK69" i="4"/>
  <c r="DL51" i="4"/>
  <c r="EF35" i="4"/>
  <c r="EF43" i="4" s="1"/>
  <c r="EF45" i="4" s="1"/>
  <c r="EF177" i="4" s="1"/>
  <c r="DM25" i="4"/>
  <c r="DN23" i="4"/>
  <c r="CU133" i="4" l="1"/>
  <c r="DJ157" i="4"/>
  <c r="EE163" i="4"/>
  <c r="DJ167" i="4"/>
  <c r="DI171" i="4"/>
  <c r="CQ143" i="4"/>
  <c r="CS223" i="4"/>
  <c r="CS221" i="4"/>
  <c r="DE213" i="4"/>
  <c r="CS131" i="4"/>
  <c r="DI147" i="4"/>
  <c r="CS219" i="4"/>
  <c r="DF49" i="4"/>
  <c r="DG47" i="4"/>
  <c r="DJ39" i="4"/>
  <c r="DJ41" i="4" s="1"/>
  <c r="DJ145" i="4" s="1"/>
  <c r="DH27" i="4"/>
  <c r="DG29" i="4"/>
  <c r="DG211" i="4" s="1"/>
  <c r="CR137" i="4"/>
  <c r="CT81" i="4"/>
  <c r="CT207" i="4" s="1"/>
  <c r="CS135" i="4"/>
  <c r="CS137" i="4" s="1"/>
  <c r="DL179" i="4"/>
  <c r="DJ115" i="4"/>
  <c r="DJ169" i="4" s="1"/>
  <c r="DK121" i="4"/>
  <c r="DK123" i="4" s="1"/>
  <c r="DK173" i="4" s="1"/>
  <c r="CT85" i="4"/>
  <c r="CR153" i="4"/>
  <c r="DK99" i="4"/>
  <c r="DK113" i="4" s="1"/>
  <c r="DK165" i="4" s="1"/>
  <c r="CT77" i="4"/>
  <c r="CT205" i="4" s="1"/>
  <c r="CS149" i="4"/>
  <c r="CS151" i="4" s="1"/>
  <c r="CU67" i="4"/>
  <c r="CT129" i="4"/>
  <c r="DL107" i="4"/>
  <c r="CV55" i="4"/>
  <c r="CU63" i="4"/>
  <c r="CT125" i="4"/>
  <c r="DK73" i="4"/>
  <c r="DK155" i="4" s="1"/>
  <c r="DL117" i="4"/>
  <c r="EF91" i="4"/>
  <c r="EF161" i="4" s="1"/>
  <c r="EF111" i="4"/>
  <c r="DK37" i="4"/>
  <c r="DL101" i="4"/>
  <c r="DL33" i="4"/>
  <c r="DM95" i="4"/>
  <c r="DM103" i="4"/>
  <c r="DL97" i="4"/>
  <c r="DL93" i="4"/>
  <c r="DM83" i="4"/>
  <c r="DM87" i="4"/>
  <c r="DM31" i="4"/>
  <c r="DM79" i="4"/>
  <c r="DL71" i="4"/>
  <c r="DL75" i="4" s="1"/>
  <c r="DL69" i="4"/>
  <c r="DM51" i="4"/>
  <c r="EG35" i="4"/>
  <c r="EG43" i="4" s="1"/>
  <c r="EG45" i="4" s="1"/>
  <c r="EG177" i="4" s="1"/>
  <c r="DN25" i="4"/>
  <c r="DO23" i="4"/>
  <c r="DK175" i="4" l="1"/>
  <c r="EF163" i="4"/>
  <c r="DK167" i="4"/>
  <c r="DJ171" i="4"/>
  <c r="DK157" i="4"/>
  <c r="W58" i="9" s="1"/>
  <c r="CS141" i="4"/>
  <c r="CR141" i="4"/>
  <c r="CR143" i="4" s="1"/>
  <c r="CT221" i="4"/>
  <c r="CT223" i="4"/>
  <c r="DF213" i="4"/>
  <c r="CU125" i="4"/>
  <c r="CT219" i="4"/>
  <c r="DJ147" i="4"/>
  <c r="DG49" i="4"/>
  <c r="DH47" i="4"/>
  <c r="DK39" i="4"/>
  <c r="DK41" i="4" s="1"/>
  <c r="DK145" i="4" s="1"/>
  <c r="DI27" i="4"/>
  <c r="DH29" i="4"/>
  <c r="DH211" i="4" s="1"/>
  <c r="CS139" i="4"/>
  <c r="CR139" i="4"/>
  <c r="CT209" i="4"/>
  <c r="CT135" i="4"/>
  <c r="DM179" i="4"/>
  <c r="CT149" i="4"/>
  <c r="CT151" i="4" s="1"/>
  <c r="DL121" i="4"/>
  <c r="DL123" i="4" s="1"/>
  <c r="DL173" i="4" s="1"/>
  <c r="DK115" i="4"/>
  <c r="DK169" i="4" s="1"/>
  <c r="CS159" i="4"/>
  <c r="CS153" i="4"/>
  <c r="DL99" i="4"/>
  <c r="CT131" i="4"/>
  <c r="DM107" i="4"/>
  <c r="CW55" i="4"/>
  <c r="CU127" i="4"/>
  <c r="CU77" i="4"/>
  <c r="CU205" i="4" s="1"/>
  <c r="CV67" i="4"/>
  <c r="CV59" i="4"/>
  <c r="CV133" i="4" s="1"/>
  <c r="CV63" i="4"/>
  <c r="CU85" i="4"/>
  <c r="CU81" i="4"/>
  <c r="CU207" i="4" s="1"/>
  <c r="CU129" i="4"/>
  <c r="DL73" i="4"/>
  <c r="DM117" i="4"/>
  <c r="EG91" i="4"/>
  <c r="EG161" i="4" s="1"/>
  <c r="EG111" i="4"/>
  <c r="DL37" i="4"/>
  <c r="DM101" i="4"/>
  <c r="DM33" i="4"/>
  <c r="DN95" i="4"/>
  <c r="DN103" i="4"/>
  <c r="DM97" i="4"/>
  <c r="DM93" i="4"/>
  <c r="DN83" i="4"/>
  <c r="DN87" i="4"/>
  <c r="DN31" i="4"/>
  <c r="DN79" i="4"/>
  <c r="DM71" i="4"/>
  <c r="DM75" i="4" s="1"/>
  <c r="DM69" i="4"/>
  <c r="DN51" i="4"/>
  <c r="EH35" i="4"/>
  <c r="EH43" i="4" s="1"/>
  <c r="EH45" i="4" s="1"/>
  <c r="EH177" i="4" s="1"/>
  <c r="DO25" i="4"/>
  <c r="DP23" i="4"/>
  <c r="DK171" i="4" l="1"/>
  <c r="DL175" i="4"/>
  <c r="EG163" i="4"/>
  <c r="CU221" i="4"/>
  <c r="CU223" i="4"/>
  <c r="DG213" i="4"/>
  <c r="DK147" i="4"/>
  <c r="CU209" i="4"/>
  <c r="CU219" i="4"/>
  <c r="DH49" i="4"/>
  <c r="DI47" i="4"/>
  <c r="DL39" i="4"/>
  <c r="DL41" i="4" s="1"/>
  <c r="DL145" i="4" s="1"/>
  <c r="DJ27" i="4"/>
  <c r="DI29" i="4"/>
  <c r="DI211" i="4" s="1"/>
  <c r="CS143" i="4"/>
  <c r="CT137" i="4"/>
  <c r="CU135" i="4"/>
  <c r="CU137" i="4" s="1"/>
  <c r="DL155" i="4"/>
  <c r="DL157" i="4" s="1"/>
  <c r="DL113" i="4"/>
  <c r="DL165" i="4" s="1"/>
  <c r="DN179" i="4"/>
  <c r="DM121" i="4"/>
  <c r="DM123" i="4" s="1"/>
  <c r="DM173" i="4" s="1"/>
  <c r="CT159" i="4"/>
  <c r="CU159" i="4"/>
  <c r="CT153" i="4"/>
  <c r="CU149" i="4"/>
  <c r="CU151" i="4" s="1"/>
  <c r="DM99" i="4"/>
  <c r="DM113" i="4" s="1"/>
  <c r="CU131" i="4"/>
  <c r="CW59" i="4"/>
  <c r="CW133" i="4" s="1"/>
  <c r="CV127" i="4"/>
  <c r="CV85" i="4"/>
  <c r="CV209" i="4" s="1"/>
  <c r="CW67" i="4"/>
  <c r="CW129" i="4" s="1"/>
  <c r="CV129" i="4"/>
  <c r="CV81" i="4"/>
  <c r="CV207" i="4" s="1"/>
  <c r="CV125" i="4"/>
  <c r="DN107" i="4"/>
  <c r="CX55" i="4"/>
  <c r="CW63" i="4"/>
  <c r="CV77" i="4"/>
  <c r="CV205" i="4" s="1"/>
  <c r="DM73" i="4"/>
  <c r="DM155" i="4" s="1"/>
  <c r="DN117" i="4"/>
  <c r="EH91" i="4"/>
  <c r="EH161" i="4" s="1"/>
  <c r="EH111" i="4"/>
  <c r="DM37" i="4"/>
  <c r="DN101" i="4"/>
  <c r="DN33" i="4"/>
  <c r="DO95" i="4"/>
  <c r="DO103" i="4"/>
  <c r="DN97" i="4"/>
  <c r="DN93" i="4"/>
  <c r="DO83" i="4"/>
  <c r="DO87" i="4"/>
  <c r="DO31" i="4"/>
  <c r="DO79" i="4"/>
  <c r="DN71" i="4"/>
  <c r="DN75" i="4" s="1"/>
  <c r="DN69" i="4"/>
  <c r="DO51" i="4"/>
  <c r="EI35" i="4"/>
  <c r="EI43" i="4" s="1"/>
  <c r="EI45" i="4" s="1"/>
  <c r="EI177" i="4" s="1"/>
  <c r="DP25" i="4"/>
  <c r="DQ23" i="4"/>
  <c r="DM157" i="4" l="1"/>
  <c r="EH163" i="4"/>
  <c r="DM165" i="4"/>
  <c r="DM167" i="4" s="1"/>
  <c r="DM175" i="4"/>
  <c r="DL167" i="4"/>
  <c r="CU141" i="4"/>
  <c r="CT141" i="4"/>
  <c r="CT143" i="4" s="1"/>
  <c r="DL115" i="4"/>
  <c r="DL169" i="4" s="1"/>
  <c r="T12" i="5"/>
  <c r="U12" i="5"/>
  <c r="V12" i="5"/>
  <c r="W12" i="5"/>
  <c r="X12" i="5"/>
  <c r="Y12" i="5"/>
  <c r="W54" i="9"/>
  <c r="CV223" i="4"/>
  <c r="CV221" i="4"/>
  <c r="DH213" i="4"/>
  <c r="DL147" i="4"/>
  <c r="CV219" i="4"/>
  <c r="W66" i="9"/>
  <c r="W64" i="9"/>
  <c r="W62" i="9"/>
  <c r="CU139" i="4"/>
  <c r="DI49" i="4"/>
  <c r="DJ47" i="4"/>
  <c r="DM39" i="4"/>
  <c r="DM41" i="4" s="1"/>
  <c r="DM145" i="4" s="1"/>
  <c r="DK27" i="4"/>
  <c r="DJ29" i="4"/>
  <c r="DJ211" i="4" s="1"/>
  <c r="CT139" i="4"/>
  <c r="CV135" i="4"/>
  <c r="DO179" i="4"/>
  <c r="DM115" i="4"/>
  <c r="DN121" i="4"/>
  <c r="DN123" i="4" s="1"/>
  <c r="DN173" i="4" s="1"/>
  <c r="CV159" i="4"/>
  <c r="CU153" i="4"/>
  <c r="CV149" i="4"/>
  <c r="CV151" i="4" s="1"/>
  <c r="DN99" i="4"/>
  <c r="CV131" i="4"/>
  <c r="CW77" i="4"/>
  <c r="CW205" i="4" s="1"/>
  <c r="CX63" i="4"/>
  <c r="CW125" i="4"/>
  <c r="CW85" i="4"/>
  <c r="CW209" i="4" s="1"/>
  <c r="CW81" i="4"/>
  <c r="CW207" i="4" s="1"/>
  <c r="CX59" i="4"/>
  <c r="CX133" i="4" s="1"/>
  <c r="CX67" i="4"/>
  <c r="DO107" i="4"/>
  <c r="CY55" i="4"/>
  <c r="CW127" i="4"/>
  <c r="DN73" i="4"/>
  <c r="EI111" i="4"/>
  <c r="DO117" i="4"/>
  <c r="DN37" i="4"/>
  <c r="DO101" i="4"/>
  <c r="DO33" i="4"/>
  <c r="DP95" i="4"/>
  <c r="DP103" i="4"/>
  <c r="DO97" i="4"/>
  <c r="DO93" i="4"/>
  <c r="Q45" i="4"/>
  <c r="EI91" i="4"/>
  <c r="EI161" i="4" s="1"/>
  <c r="EI163" i="4" s="1"/>
  <c r="DP83" i="4"/>
  <c r="DP87" i="4"/>
  <c r="DP31" i="4"/>
  <c r="DP79" i="4"/>
  <c r="DO71" i="4"/>
  <c r="DO75" i="4" s="1"/>
  <c r="DO69" i="4"/>
  <c r="DP51" i="4"/>
  <c r="DQ25" i="4"/>
  <c r="DR23" i="4"/>
  <c r="DM169" i="4" l="1"/>
  <c r="DM171" i="4" s="1"/>
  <c r="DN175" i="4"/>
  <c r="DL171" i="4"/>
  <c r="T29" i="7"/>
  <c r="T29" i="5"/>
  <c r="U29" i="7"/>
  <c r="U29" i="5"/>
  <c r="V29" i="5"/>
  <c r="V29" i="7"/>
  <c r="W29" i="7"/>
  <c r="W29" i="5"/>
  <c r="X29" i="7"/>
  <c r="X29" i="5"/>
  <c r="Y29" i="7"/>
  <c r="Y29" i="5"/>
  <c r="CW223" i="4"/>
  <c r="CW221" i="4"/>
  <c r="DI213" i="4"/>
  <c r="DM147" i="4"/>
  <c r="CW219" i="4"/>
  <c r="DJ49" i="4"/>
  <c r="DK47" i="4"/>
  <c r="DN39" i="4"/>
  <c r="DN41" i="4" s="1"/>
  <c r="DN145" i="4" s="1"/>
  <c r="DL27" i="4"/>
  <c r="DK29" i="4"/>
  <c r="DK211" i="4" s="1"/>
  <c r="W28" i="9" s="1"/>
  <c r="CU143" i="4"/>
  <c r="CV137" i="4"/>
  <c r="W12" i="7"/>
  <c r="U12" i="7"/>
  <c r="V12" i="7"/>
  <c r="T12" i="7"/>
  <c r="X12" i="7"/>
  <c r="Y12" i="7"/>
  <c r="CW135" i="4"/>
  <c r="CW137" i="4" s="1"/>
  <c r="DN155" i="4"/>
  <c r="DN157" i="4" s="1"/>
  <c r="DN113" i="4"/>
  <c r="DN165" i="4" s="1"/>
  <c r="DP179" i="4"/>
  <c r="DO121" i="4"/>
  <c r="DO123" i="4" s="1"/>
  <c r="DO173" i="4" s="1"/>
  <c r="CV153" i="4"/>
  <c r="CW159" i="4"/>
  <c r="DO99" i="4"/>
  <c r="DO113" i="4" s="1"/>
  <c r="CW149" i="4"/>
  <c r="CW151" i="4" s="1"/>
  <c r="CX77" i="4"/>
  <c r="CX205" i="4" s="1"/>
  <c r="CX81" i="4"/>
  <c r="CX207" i="4" s="1"/>
  <c r="CX85" i="4"/>
  <c r="CX209" i="4" s="1"/>
  <c r="CY63" i="4"/>
  <c r="CX129" i="4"/>
  <c r="DP107" i="4"/>
  <c r="CZ55" i="4"/>
  <c r="CX125" i="4"/>
  <c r="CW131" i="4"/>
  <c r="CY59" i="4"/>
  <c r="CY133" i="4" s="1"/>
  <c r="CY67" i="4"/>
  <c r="CY129" i="4" s="1"/>
  <c r="V21" i="9" s="1"/>
  <c r="CX127" i="4"/>
  <c r="DO73" i="4"/>
  <c r="DO155" i="4" s="1"/>
  <c r="Q111" i="4"/>
  <c r="T35" i="5"/>
  <c r="U35" i="5"/>
  <c r="V35" i="5"/>
  <c r="W35" i="5"/>
  <c r="X35" i="5"/>
  <c r="Y35" i="5"/>
  <c r="Q91" i="4"/>
  <c r="M12" i="5"/>
  <c r="DP117" i="4"/>
  <c r="DO37" i="4"/>
  <c r="DP101" i="4"/>
  <c r="DP33" i="4"/>
  <c r="DQ95" i="4"/>
  <c r="DQ103" i="4"/>
  <c r="DP97" i="4"/>
  <c r="DP93" i="4"/>
  <c r="DQ83" i="4"/>
  <c r="DQ87" i="4"/>
  <c r="DQ31" i="4"/>
  <c r="DQ79" i="4"/>
  <c r="DP71" i="4"/>
  <c r="DP75" i="4" s="1"/>
  <c r="DP69" i="4"/>
  <c r="DQ51" i="4"/>
  <c r="DR25" i="4"/>
  <c r="DS23" i="4"/>
  <c r="DO165" i="4" l="1"/>
  <c r="DO167" i="4" s="1"/>
  <c r="DO175" i="4"/>
  <c r="DO157" i="4"/>
  <c r="DN167" i="4"/>
  <c r="CW141" i="4"/>
  <c r="CV141" i="4"/>
  <c r="CV143" i="4" s="1"/>
  <c r="CX221" i="4"/>
  <c r="CX223" i="4"/>
  <c r="DN147" i="4"/>
  <c r="DJ213" i="4"/>
  <c r="CY127" i="4"/>
  <c r="V19" i="9" s="1"/>
  <c r="CX219" i="4"/>
  <c r="DK49" i="4"/>
  <c r="DL47" i="4"/>
  <c r="DO39" i="4"/>
  <c r="DO41" i="4" s="1"/>
  <c r="DO145" i="4" s="1"/>
  <c r="DM27" i="4"/>
  <c r="DL29" i="4"/>
  <c r="DL211" i="4" s="1"/>
  <c r="CW139" i="4"/>
  <c r="CV139" i="4"/>
  <c r="M12" i="7"/>
  <c r="DN115" i="4"/>
  <c r="DN169" i="4" s="1"/>
  <c r="CX135" i="4"/>
  <c r="CX137" i="4" s="1"/>
  <c r="M29" i="7"/>
  <c r="DQ179" i="4"/>
  <c r="DO115" i="4"/>
  <c r="DP121" i="4"/>
  <c r="DP123" i="4" s="1"/>
  <c r="DP173" i="4" s="1"/>
  <c r="CW153" i="4"/>
  <c r="CX159" i="4"/>
  <c r="DP99" i="4"/>
  <c r="DP113" i="4" s="1"/>
  <c r="DP165" i="4" s="1"/>
  <c r="CX149" i="4"/>
  <c r="CX151" i="4" s="1"/>
  <c r="V52" i="9"/>
  <c r="CY81" i="4"/>
  <c r="CY207" i="4" s="1"/>
  <c r="CY77" i="4"/>
  <c r="CY205" i="4" s="1"/>
  <c r="CZ67" i="4"/>
  <c r="CY125" i="4"/>
  <c r="V17" i="9" s="1"/>
  <c r="CZ63" i="4"/>
  <c r="CX131" i="4"/>
  <c r="CZ59" i="4"/>
  <c r="CZ133" i="4" s="1"/>
  <c r="DQ107" i="4"/>
  <c r="DA55" i="4"/>
  <c r="CY85" i="4"/>
  <c r="CY209" i="4" s="1"/>
  <c r="DP73" i="4"/>
  <c r="M29" i="5"/>
  <c r="M35" i="5"/>
  <c r="DQ117" i="4"/>
  <c r="DP37" i="4"/>
  <c r="DQ101" i="4"/>
  <c r="DQ33" i="4"/>
  <c r="DR95" i="4"/>
  <c r="DR103" i="4"/>
  <c r="DQ97" i="4"/>
  <c r="DQ93" i="4"/>
  <c r="DR83" i="4"/>
  <c r="DR87" i="4"/>
  <c r="DR31" i="4"/>
  <c r="DR79" i="4"/>
  <c r="DQ71" i="4"/>
  <c r="DQ75" i="4" s="1"/>
  <c r="DQ69" i="4"/>
  <c r="DR51" i="4"/>
  <c r="DS25" i="4"/>
  <c r="DT23" i="4"/>
  <c r="DO169" i="4" l="1"/>
  <c r="DO171" i="4" s="1"/>
  <c r="DN171" i="4"/>
  <c r="DP175" i="4"/>
  <c r="DP167" i="4"/>
  <c r="CW143" i="4"/>
  <c r="CX139" i="4"/>
  <c r="CX141" i="4"/>
  <c r="CX143" i="4" s="1"/>
  <c r="CY223" i="4"/>
  <c r="CY221" i="4"/>
  <c r="DK213" i="4"/>
  <c r="W30" i="9" s="1"/>
  <c r="CY219" i="4"/>
  <c r="V37" i="7"/>
  <c r="V60" i="5"/>
  <c r="DL49" i="4"/>
  <c r="DM47" i="4"/>
  <c r="DP39" i="4"/>
  <c r="DP41" i="4" s="1"/>
  <c r="DP145" i="4" s="1"/>
  <c r="DN27" i="4"/>
  <c r="DM29" i="4"/>
  <c r="DM211" i="4" s="1"/>
  <c r="CY131" i="4"/>
  <c r="V15" i="9"/>
  <c r="CY135" i="4"/>
  <c r="CY137" i="4" s="1"/>
  <c r="CY141" i="4" s="1"/>
  <c r="DP155" i="4"/>
  <c r="DP157" i="4" s="1"/>
  <c r="DO147" i="4"/>
  <c r="DR179" i="4"/>
  <c r="DP115" i="4"/>
  <c r="DQ121" i="4"/>
  <c r="DQ123" i="4" s="1"/>
  <c r="DQ173" i="4" s="1"/>
  <c r="CX153" i="4"/>
  <c r="CY159" i="4"/>
  <c r="DQ99" i="4"/>
  <c r="CY149" i="4"/>
  <c r="CY151" i="4" s="1"/>
  <c r="CZ85" i="4"/>
  <c r="CZ127" i="4"/>
  <c r="DA63" i="4"/>
  <c r="CZ125" i="4"/>
  <c r="DA59" i="4"/>
  <c r="DA133" i="4" s="1"/>
  <c r="DR107" i="4"/>
  <c r="DB55" i="4"/>
  <c r="DB63" i="4" s="1"/>
  <c r="DA67" i="4"/>
  <c r="DA129" i="4" s="1"/>
  <c r="CZ129" i="4"/>
  <c r="CZ77" i="4"/>
  <c r="CZ81" i="4"/>
  <c r="DQ73" i="4"/>
  <c r="DR117" i="4"/>
  <c r="DQ37" i="4"/>
  <c r="DR101" i="4"/>
  <c r="DR33" i="4"/>
  <c r="DS95" i="4"/>
  <c r="DS103" i="4"/>
  <c r="DR97" i="4"/>
  <c r="DR93" i="4"/>
  <c r="DS83" i="4"/>
  <c r="DS87" i="4"/>
  <c r="DS31" i="4"/>
  <c r="DS79" i="4"/>
  <c r="DR71" i="4"/>
  <c r="DR75" i="4" s="1"/>
  <c r="DR69" i="4"/>
  <c r="DS51" i="4"/>
  <c r="DT25" i="4"/>
  <c r="DU23" i="4"/>
  <c r="DP169" i="4" l="1"/>
  <c r="DP171" i="4" s="1"/>
  <c r="DQ175" i="4"/>
  <c r="V34" i="9"/>
  <c r="V72" i="9"/>
  <c r="CZ223" i="4"/>
  <c r="CZ221" i="4"/>
  <c r="DQ155" i="4"/>
  <c r="DQ157" i="4" s="1"/>
  <c r="DL213" i="4"/>
  <c r="CZ219" i="4"/>
  <c r="V68" i="9"/>
  <c r="W46" i="8"/>
  <c r="Y60" i="9"/>
  <c r="DM49" i="4"/>
  <c r="DN47" i="4"/>
  <c r="CY139" i="4"/>
  <c r="V43" i="9" s="1"/>
  <c r="DQ39" i="4"/>
  <c r="DQ41" i="4" s="1"/>
  <c r="DQ145" i="4" s="1"/>
  <c r="DO27" i="4"/>
  <c r="DN29" i="4"/>
  <c r="DN211" i="4" s="1"/>
  <c r="CY143" i="4"/>
  <c r="P38" i="8"/>
  <c r="Q38" i="8"/>
  <c r="R38" i="8"/>
  <c r="S38" i="8"/>
  <c r="T38" i="8"/>
  <c r="U38" i="8"/>
  <c r="V38" i="8"/>
  <c r="W38" i="8"/>
  <c r="X38" i="8"/>
  <c r="CZ205" i="4"/>
  <c r="CZ209" i="4"/>
  <c r="CZ207" i="4"/>
  <c r="CZ135" i="4"/>
  <c r="DQ113" i="4"/>
  <c r="DS179" i="4"/>
  <c r="DR121" i="4"/>
  <c r="DR123" i="4" s="1"/>
  <c r="DR173" i="4" s="1"/>
  <c r="DR175" i="4" s="1"/>
  <c r="CZ159" i="4"/>
  <c r="DR99" i="4"/>
  <c r="DR113" i="4" s="1"/>
  <c r="CZ149" i="4"/>
  <c r="CZ151" i="4" s="1"/>
  <c r="DA85" i="4"/>
  <c r="DA209" i="4" s="1"/>
  <c r="DA81" i="4"/>
  <c r="DA207" i="4" s="1"/>
  <c r="CZ131" i="4"/>
  <c r="DS107" i="4"/>
  <c r="DC55" i="4"/>
  <c r="DB67" i="4"/>
  <c r="DA125" i="4"/>
  <c r="DA77" i="4"/>
  <c r="DA205" i="4" s="1"/>
  <c r="DB127" i="4"/>
  <c r="DB59" i="4"/>
  <c r="DB133" i="4" s="1"/>
  <c r="DA127" i="4"/>
  <c r="DR73" i="4"/>
  <c r="DR155" i="4" s="1"/>
  <c r="DS117" i="4"/>
  <c r="DR37" i="4"/>
  <c r="DS101" i="4"/>
  <c r="DS33" i="4"/>
  <c r="DT95" i="4"/>
  <c r="DT103" i="4"/>
  <c r="DS97" i="4"/>
  <c r="DS93" i="4"/>
  <c r="DT83" i="4"/>
  <c r="DT87" i="4"/>
  <c r="DT31" i="4"/>
  <c r="DT79" i="4"/>
  <c r="DS71" i="4"/>
  <c r="DS75" i="4" s="1"/>
  <c r="DS69" i="4"/>
  <c r="DT51" i="4"/>
  <c r="DU25" i="4"/>
  <c r="DV23" i="4"/>
  <c r="DR157" i="4" l="1"/>
  <c r="DQ165" i="4"/>
  <c r="DR165" i="4" s="1"/>
  <c r="Y38" i="8"/>
  <c r="DA223" i="4"/>
  <c r="DA221" i="4"/>
  <c r="DM213" i="4"/>
  <c r="DQ147" i="4"/>
  <c r="DA219" i="4"/>
  <c r="CY153" i="4"/>
  <c r="V56" i="9"/>
  <c r="V41" i="9"/>
  <c r="DN49" i="4"/>
  <c r="DO47" i="4"/>
  <c r="DR39" i="4"/>
  <c r="DR41" i="4" s="1"/>
  <c r="DR145" i="4" s="1"/>
  <c r="DP27" i="4"/>
  <c r="DO29" i="4"/>
  <c r="DO211" i="4" s="1"/>
  <c r="CZ137" i="4"/>
  <c r="DQ115" i="4"/>
  <c r="DQ169" i="4" s="1"/>
  <c r="DB81" i="4"/>
  <c r="DB207" i="4" s="1"/>
  <c r="DA135" i="4"/>
  <c r="DA137" i="4" s="1"/>
  <c r="DB129" i="4"/>
  <c r="DP147" i="4"/>
  <c r="DT179" i="4"/>
  <c r="DR115" i="4"/>
  <c r="DS121" i="4"/>
  <c r="DS123" i="4" s="1"/>
  <c r="DS173" i="4" s="1"/>
  <c r="CZ153" i="4"/>
  <c r="DB85" i="4"/>
  <c r="DB209" i="4" s="1"/>
  <c r="DS99" i="4"/>
  <c r="DB77" i="4"/>
  <c r="DB205" i="4" s="1"/>
  <c r="DA149" i="4"/>
  <c r="DA151" i="4" s="1"/>
  <c r="DB125" i="4"/>
  <c r="DA131" i="4"/>
  <c r="DC67" i="4"/>
  <c r="DC59" i="4"/>
  <c r="DC133" i="4" s="1"/>
  <c r="DT107" i="4"/>
  <c r="DD55" i="4"/>
  <c r="DC63" i="4"/>
  <c r="DS73" i="4"/>
  <c r="DS155" i="4" s="1"/>
  <c r="DS157" i="4" s="1"/>
  <c r="DT117" i="4"/>
  <c r="DS37" i="4"/>
  <c r="DT101" i="4"/>
  <c r="DT33" i="4"/>
  <c r="DU95" i="4"/>
  <c r="DU103" i="4"/>
  <c r="DT97" i="4"/>
  <c r="DT93" i="4"/>
  <c r="DU83" i="4"/>
  <c r="DU87" i="4"/>
  <c r="DU31" i="4"/>
  <c r="DU79" i="4"/>
  <c r="DT71" i="4"/>
  <c r="DT75" i="4" s="1"/>
  <c r="DT69" i="4"/>
  <c r="DU51" i="4"/>
  <c r="DV25" i="4"/>
  <c r="DW23" i="4"/>
  <c r="DR169" i="4" l="1"/>
  <c r="DR171" i="4" s="1"/>
  <c r="DQ171" i="4"/>
  <c r="DR167" i="4"/>
  <c r="DS175" i="4"/>
  <c r="DQ167" i="4"/>
  <c r="CZ141" i="4"/>
  <c r="CZ143" i="4" s="1"/>
  <c r="DA141" i="4"/>
  <c r="DC129" i="4"/>
  <c r="DB223" i="4"/>
  <c r="DB221" i="4"/>
  <c r="DN213" i="4"/>
  <c r="DR147" i="4"/>
  <c r="DB219" i="4"/>
  <c r="DO49" i="4"/>
  <c r="DP47" i="4"/>
  <c r="DS39" i="4"/>
  <c r="DS41" i="4" s="1"/>
  <c r="DS145" i="4" s="1"/>
  <c r="DQ27" i="4"/>
  <c r="DP29" i="4"/>
  <c r="DP211" i="4" s="1"/>
  <c r="DA139" i="4"/>
  <c r="CZ139" i="4"/>
  <c r="DB131" i="4"/>
  <c r="DC81" i="4"/>
  <c r="DS113" i="4"/>
  <c r="DS165" i="4" s="1"/>
  <c r="DU179" i="4"/>
  <c r="DT121" i="4"/>
  <c r="DT123" i="4" s="1"/>
  <c r="DT173" i="4" s="1"/>
  <c r="DA153" i="4"/>
  <c r="DB149" i="4"/>
  <c r="DB151" i="4" s="1"/>
  <c r="DA159" i="4"/>
  <c r="DT99" i="4"/>
  <c r="DT113" i="4" s="1"/>
  <c r="DB135" i="4"/>
  <c r="DU107" i="4"/>
  <c r="DE55" i="4"/>
  <c r="DC85" i="4"/>
  <c r="DD63" i="4"/>
  <c r="DC127" i="4"/>
  <c r="DC125" i="4"/>
  <c r="DC77" i="4"/>
  <c r="DD67" i="4"/>
  <c r="DD59" i="4"/>
  <c r="DD133" i="4" s="1"/>
  <c r="DT73" i="4"/>
  <c r="DT155" i="4" s="1"/>
  <c r="DT157" i="4" s="1"/>
  <c r="DU117" i="4"/>
  <c r="DT37" i="4"/>
  <c r="DU101" i="4"/>
  <c r="DU33" i="4"/>
  <c r="DV95" i="4"/>
  <c r="DV103" i="4"/>
  <c r="DU97" i="4"/>
  <c r="DU93" i="4"/>
  <c r="DV83" i="4"/>
  <c r="DV87" i="4"/>
  <c r="DV31" i="4"/>
  <c r="DV79" i="4"/>
  <c r="DU71" i="4"/>
  <c r="DU75" i="4" s="1"/>
  <c r="DU69" i="4"/>
  <c r="DV51" i="4"/>
  <c r="DW25" i="4"/>
  <c r="DX23" i="4"/>
  <c r="DT165" i="4" l="1"/>
  <c r="DT167" i="4" s="1"/>
  <c r="DS167" i="4"/>
  <c r="DT175" i="4"/>
  <c r="DS115" i="4"/>
  <c r="DC223" i="4"/>
  <c r="DC221" i="4"/>
  <c r="DC205" i="4"/>
  <c r="DC209" i="4"/>
  <c r="DO213" i="4"/>
  <c r="DS147" i="4"/>
  <c r="DC219" i="4"/>
  <c r="DP49" i="4"/>
  <c r="DQ47" i="4"/>
  <c r="DT39" i="4"/>
  <c r="DT41" i="4" s="1"/>
  <c r="DT145" i="4" s="1"/>
  <c r="DR27" i="4"/>
  <c r="DQ29" i="4"/>
  <c r="DQ211" i="4" s="1"/>
  <c r="DB137" i="4"/>
  <c r="DA143" i="4"/>
  <c r="DC207" i="4"/>
  <c r="DC135" i="4"/>
  <c r="DV179" i="4"/>
  <c r="X32" i="9"/>
  <c r="DT115" i="4"/>
  <c r="DU121" i="4"/>
  <c r="DU123" i="4" s="1"/>
  <c r="DU173" i="4" s="1"/>
  <c r="DB153" i="4"/>
  <c r="DB159" i="4"/>
  <c r="DU99" i="4"/>
  <c r="DU113" i="4" s="1"/>
  <c r="DU165" i="4" s="1"/>
  <c r="DC149" i="4"/>
  <c r="DC151" i="4" s="1"/>
  <c r="DC131" i="4"/>
  <c r="DD129" i="4"/>
  <c r="DV107" i="4"/>
  <c r="DF55" i="4"/>
  <c r="DD77" i="4"/>
  <c r="DD205" i="4" s="1"/>
  <c r="DE67" i="4"/>
  <c r="DD85" i="4"/>
  <c r="DD209" i="4" s="1"/>
  <c r="DE59" i="4"/>
  <c r="DE133" i="4" s="1"/>
  <c r="DD125" i="4"/>
  <c r="DE63" i="4"/>
  <c r="DD81" i="4"/>
  <c r="DD207" i="4" s="1"/>
  <c r="DD127" i="4"/>
  <c r="DU73" i="4"/>
  <c r="DU155" i="4" s="1"/>
  <c r="DU157" i="4" s="1"/>
  <c r="DV117" i="4"/>
  <c r="DU37" i="4"/>
  <c r="DV101" i="4"/>
  <c r="DV33" i="4"/>
  <c r="DW95" i="4"/>
  <c r="DW103" i="4"/>
  <c r="DV97" i="4"/>
  <c r="DV93" i="4"/>
  <c r="DW83" i="4"/>
  <c r="DW87" i="4"/>
  <c r="DW31" i="4"/>
  <c r="DW79" i="4"/>
  <c r="DV71" i="4"/>
  <c r="DV75" i="4" s="1"/>
  <c r="DV69" i="4"/>
  <c r="DW51" i="4"/>
  <c r="DX25" i="4"/>
  <c r="DY23" i="4"/>
  <c r="DU167" i="4" l="1"/>
  <c r="DS169" i="4"/>
  <c r="DS171" i="4" s="1"/>
  <c r="DU175" i="4"/>
  <c r="DB139" i="4"/>
  <c r="DB141" i="4"/>
  <c r="DB143" i="4" s="1"/>
  <c r="DD223" i="4"/>
  <c r="DD221" i="4"/>
  <c r="DP213" i="4"/>
  <c r="DT147" i="4"/>
  <c r="DD219" i="4"/>
  <c r="DQ49" i="4"/>
  <c r="DR47" i="4"/>
  <c r="DU39" i="4"/>
  <c r="DU41" i="4" s="1"/>
  <c r="DU145" i="4" s="1"/>
  <c r="DS27" i="4"/>
  <c r="DR29" i="4"/>
  <c r="DR211" i="4" s="1"/>
  <c r="DC137" i="4"/>
  <c r="DC141" i="4" s="1"/>
  <c r="DD135" i="4"/>
  <c r="DW179" i="4"/>
  <c r="DU115" i="4"/>
  <c r="DV121" i="4"/>
  <c r="DV123" i="4" s="1"/>
  <c r="DV173" i="4" s="1"/>
  <c r="DC153" i="4"/>
  <c r="DV99" i="4"/>
  <c r="DV113" i="4" s="1"/>
  <c r="DV165" i="4" s="1"/>
  <c r="DD149" i="4"/>
  <c r="DD151" i="4" s="1"/>
  <c r="DD131" i="4"/>
  <c r="DE77" i="4"/>
  <c r="DE129" i="4"/>
  <c r="DW107" i="4"/>
  <c r="DG55" i="4"/>
  <c r="DF67" i="4"/>
  <c r="DF129" i="4" s="1"/>
  <c r="DF59" i="4"/>
  <c r="DF133" i="4" s="1"/>
  <c r="DE81" i="4"/>
  <c r="DE85" i="4"/>
  <c r="DE127" i="4"/>
  <c r="DF63" i="4"/>
  <c r="DE125" i="4"/>
  <c r="DV73" i="4"/>
  <c r="DV155" i="4" s="1"/>
  <c r="DV157" i="4" s="1"/>
  <c r="DW117" i="4"/>
  <c r="DV37" i="4"/>
  <c r="DW101" i="4"/>
  <c r="DW33" i="4"/>
  <c r="DX95" i="4"/>
  <c r="DX103" i="4"/>
  <c r="DW97" i="4"/>
  <c r="DW93" i="4"/>
  <c r="DX83" i="4"/>
  <c r="DX87" i="4"/>
  <c r="DX31" i="4"/>
  <c r="DX79" i="4"/>
  <c r="DW71" i="4"/>
  <c r="DW75" i="4" s="1"/>
  <c r="DW69" i="4"/>
  <c r="DX51" i="4"/>
  <c r="DY25" i="4"/>
  <c r="DZ23" i="4"/>
  <c r="DV167" i="4" l="1"/>
  <c r="DV175" i="4"/>
  <c r="DT169" i="4"/>
  <c r="DU169" i="4" s="1"/>
  <c r="DE223" i="4"/>
  <c r="DE221" i="4"/>
  <c r="DQ213" i="4"/>
  <c r="DE219" i="4"/>
  <c r="DU147" i="4"/>
  <c r="DR49" i="4"/>
  <c r="DS47" i="4"/>
  <c r="DV39" i="4"/>
  <c r="DV41" i="4" s="1"/>
  <c r="DV145" i="4" s="1"/>
  <c r="DT27" i="4"/>
  <c r="DS29" i="4"/>
  <c r="DS211" i="4" s="1"/>
  <c r="DD137" i="4"/>
  <c r="DC139" i="4"/>
  <c r="DC143" i="4"/>
  <c r="DE207" i="4"/>
  <c r="DE209" i="4"/>
  <c r="DE205" i="4"/>
  <c r="DE135" i="4"/>
  <c r="DX179" i="4"/>
  <c r="DW121" i="4"/>
  <c r="DW123" i="4" s="1"/>
  <c r="DW173" i="4" s="1"/>
  <c r="DV115" i="4"/>
  <c r="DD153" i="4"/>
  <c r="DE159" i="4"/>
  <c r="DC159" i="4"/>
  <c r="DD159" i="4"/>
  <c r="DW99" i="4"/>
  <c r="DW113" i="4" s="1"/>
  <c r="DW165" i="4" s="1"/>
  <c r="DE149" i="4"/>
  <c r="DE151" i="4" s="1"/>
  <c r="DF85" i="4"/>
  <c r="DF209" i="4" s="1"/>
  <c r="DF125" i="4"/>
  <c r="DE131" i="4"/>
  <c r="DX107" i="4"/>
  <c r="DH55" i="4"/>
  <c r="DH67" i="4" s="1"/>
  <c r="DF81" i="4"/>
  <c r="DF207" i="4" s="1"/>
  <c r="DG59" i="4"/>
  <c r="DG133" i="4" s="1"/>
  <c r="DG67" i="4"/>
  <c r="DF127" i="4"/>
  <c r="DF77" i="4"/>
  <c r="DF205" i="4" s="1"/>
  <c r="DG63" i="4"/>
  <c r="DW73" i="4"/>
  <c r="DW155" i="4" s="1"/>
  <c r="DW157" i="4" s="1"/>
  <c r="DX117" i="4"/>
  <c r="DW37" i="4"/>
  <c r="DX101" i="4"/>
  <c r="DX33" i="4"/>
  <c r="DY95" i="4"/>
  <c r="DY103" i="4"/>
  <c r="DX97" i="4"/>
  <c r="DX93" i="4"/>
  <c r="DY83" i="4"/>
  <c r="DY87" i="4"/>
  <c r="DY31" i="4"/>
  <c r="DY79" i="4"/>
  <c r="DX71" i="4"/>
  <c r="DX75" i="4" s="1"/>
  <c r="DX69" i="4"/>
  <c r="DY51" i="4"/>
  <c r="DZ25" i="4"/>
  <c r="EA23" i="4"/>
  <c r="DW175" i="4" l="1"/>
  <c r="DT171" i="4"/>
  <c r="DW167" i="4"/>
  <c r="DV169" i="4"/>
  <c r="DU171" i="4"/>
  <c r="X58" i="9"/>
  <c r="DD141" i="4"/>
  <c r="DD143" i="4" s="1"/>
  <c r="DF221" i="4"/>
  <c r="DF223" i="4"/>
  <c r="DR213" i="4"/>
  <c r="DV147" i="4"/>
  <c r="DF219" i="4"/>
  <c r="DS49" i="4"/>
  <c r="DT47" i="4"/>
  <c r="DW39" i="4"/>
  <c r="DW41" i="4" s="1"/>
  <c r="DW145" i="4" s="1"/>
  <c r="DU27" i="4"/>
  <c r="DT29" i="4"/>
  <c r="DT211" i="4" s="1"/>
  <c r="DD139" i="4"/>
  <c r="DE137" i="4"/>
  <c r="DE141" i="4" s="1"/>
  <c r="DF135" i="4"/>
  <c r="DY179" i="4"/>
  <c r="DW115" i="4"/>
  <c r="DW169" i="4" s="1"/>
  <c r="DX121" i="4"/>
  <c r="DX123" i="4" s="1"/>
  <c r="DX173" i="4" s="1"/>
  <c r="DF159" i="4"/>
  <c r="DE153" i="4"/>
  <c r="DX99" i="4"/>
  <c r="DH129" i="4"/>
  <c r="DF149" i="4"/>
  <c r="DF151" i="4" s="1"/>
  <c r="DG85" i="4"/>
  <c r="DG209" i="4" s="1"/>
  <c r="DF131" i="4"/>
  <c r="DG77" i="4"/>
  <c r="DG205" i="4" s="1"/>
  <c r="DY107" i="4"/>
  <c r="DI55" i="4"/>
  <c r="DG127" i="4"/>
  <c r="DG129" i="4"/>
  <c r="DH63" i="4"/>
  <c r="DG81" i="4"/>
  <c r="DG125" i="4"/>
  <c r="DH59" i="4"/>
  <c r="DH133" i="4" s="1"/>
  <c r="DX73" i="4"/>
  <c r="DY117" i="4"/>
  <c r="DX37" i="4"/>
  <c r="DY101" i="4"/>
  <c r="DY33" i="4"/>
  <c r="DZ95" i="4"/>
  <c r="DZ103" i="4"/>
  <c r="DY97" i="4"/>
  <c r="DY93" i="4"/>
  <c r="DZ83" i="4"/>
  <c r="DZ87" i="4"/>
  <c r="DZ31" i="4"/>
  <c r="DZ79" i="4"/>
  <c r="DY71" i="4"/>
  <c r="DY75" i="4" s="1"/>
  <c r="DY69" i="4"/>
  <c r="DZ51" i="4"/>
  <c r="EA25" i="4"/>
  <c r="EB23" i="4"/>
  <c r="DX175" i="4" l="1"/>
  <c r="DW171" i="4"/>
  <c r="DV171" i="4"/>
  <c r="DG221" i="4"/>
  <c r="DG223" i="4"/>
  <c r="DS213" i="4"/>
  <c r="DH127" i="4"/>
  <c r="DW147" i="4"/>
  <c r="DG219" i="4"/>
  <c r="DT49" i="4"/>
  <c r="DU47" i="4"/>
  <c r="DX39" i="4"/>
  <c r="DX41" i="4" s="1"/>
  <c r="DX145" i="4" s="1"/>
  <c r="DV27" i="4"/>
  <c r="DU29" i="4"/>
  <c r="DU211" i="4" s="1"/>
  <c r="DF137" i="4"/>
  <c r="DE143" i="4"/>
  <c r="DE139" i="4"/>
  <c r="DG207" i="4"/>
  <c r="DG135" i="4"/>
  <c r="DX155" i="4"/>
  <c r="DX157" i="4" s="1"/>
  <c r="DX113" i="4"/>
  <c r="DX165" i="4" s="1"/>
  <c r="DZ179" i="4"/>
  <c r="DY121" i="4"/>
  <c r="DY123" i="4" s="1"/>
  <c r="DY173" i="4" s="1"/>
  <c r="DY175" i="4" s="1"/>
  <c r="DG159" i="4"/>
  <c r="DY99" i="4"/>
  <c r="DY113" i="4" s="1"/>
  <c r="DY165" i="4" s="1"/>
  <c r="DG149" i="4"/>
  <c r="DG151" i="4" s="1"/>
  <c r="DH125" i="4"/>
  <c r="DG131" i="4"/>
  <c r="DH81" i="4"/>
  <c r="DH207" i="4" s="1"/>
  <c r="DZ107" i="4"/>
  <c r="DJ55" i="4"/>
  <c r="DI63" i="4"/>
  <c r="DI59" i="4"/>
  <c r="DI133" i="4" s="1"/>
  <c r="DI67" i="4"/>
  <c r="DH77" i="4"/>
  <c r="DH205" i="4" s="1"/>
  <c r="DH85" i="4"/>
  <c r="DH209" i="4" s="1"/>
  <c r="DY73" i="4"/>
  <c r="DY155" i="4" s="1"/>
  <c r="DZ117" i="4"/>
  <c r="DY37" i="4"/>
  <c r="DZ101" i="4"/>
  <c r="DZ33" i="4"/>
  <c r="EA95" i="4"/>
  <c r="EA103" i="4"/>
  <c r="DZ97" i="4"/>
  <c r="DZ93" i="4"/>
  <c r="EA83" i="4"/>
  <c r="EA87" i="4"/>
  <c r="EA31" i="4"/>
  <c r="EA79" i="4"/>
  <c r="DZ71" i="4"/>
  <c r="DZ75" i="4" s="1"/>
  <c r="DZ69" i="4"/>
  <c r="EA51" i="4"/>
  <c r="EB25" i="4"/>
  <c r="EC23" i="4"/>
  <c r="DY157" i="4" l="1"/>
  <c r="DX167" i="4"/>
  <c r="DY167" i="4"/>
  <c r="DX115" i="4"/>
  <c r="DX169" i="4" s="1"/>
  <c r="DF139" i="4"/>
  <c r="DF141" i="4"/>
  <c r="DF143" i="4" s="1"/>
  <c r="X54" i="9"/>
  <c r="DH223" i="4"/>
  <c r="DH221" i="4"/>
  <c r="DT213" i="4"/>
  <c r="DI127" i="4"/>
  <c r="DH131" i="4"/>
  <c r="DX147" i="4"/>
  <c r="DH219" i="4"/>
  <c r="X66" i="9"/>
  <c r="X62" i="9"/>
  <c r="DU49" i="4"/>
  <c r="DV47" i="4"/>
  <c r="DY39" i="4"/>
  <c r="DY41" i="4" s="1"/>
  <c r="DY145" i="4" s="1"/>
  <c r="DW27" i="4"/>
  <c r="DV29" i="4"/>
  <c r="DV211" i="4" s="1"/>
  <c r="DG137" i="4"/>
  <c r="DG141" i="4" s="1"/>
  <c r="EA179" i="4"/>
  <c r="DY115" i="4"/>
  <c r="DY169" i="4" s="1"/>
  <c r="DZ121" i="4"/>
  <c r="DZ123" i="4" s="1"/>
  <c r="DZ173" i="4" s="1"/>
  <c r="DZ175" i="4" s="1"/>
  <c r="DH159" i="4"/>
  <c r="DF153" i="4"/>
  <c r="DZ99" i="4"/>
  <c r="DZ113" i="4" s="1"/>
  <c r="DZ165" i="4" s="1"/>
  <c r="DH149" i="4"/>
  <c r="DH151" i="4" s="1"/>
  <c r="DI125" i="4"/>
  <c r="DH135" i="4"/>
  <c r="DH137" i="4" s="1"/>
  <c r="DI77" i="4"/>
  <c r="DI205" i="4" s="1"/>
  <c r="DJ59" i="4"/>
  <c r="DJ133" i="4" s="1"/>
  <c r="DI129" i="4"/>
  <c r="EA107" i="4"/>
  <c r="DK55" i="4"/>
  <c r="DK59" i="4" s="1"/>
  <c r="DJ63" i="4"/>
  <c r="DI81" i="4"/>
  <c r="DI207" i="4" s="1"/>
  <c r="DJ67" i="4"/>
  <c r="DI85" i="4"/>
  <c r="DI209" i="4" s="1"/>
  <c r="DZ73" i="4"/>
  <c r="EA117" i="4"/>
  <c r="DZ37" i="4"/>
  <c r="EA101" i="4"/>
  <c r="EA33" i="4"/>
  <c r="EB95" i="4"/>
  <c r="EB103" i="4"/>
  <c r="EA97" i="4"/>
  <c r="EA93" i="4"/>
  <c r="EB83" i="4"/>
  <c r="EB87" i="4"/>
  <c r="EB31" i="4"/>
  <c r="EB79" i="4"/>
  <c r="EA71" i="4"/>
  <c r="EA75" i="4" s="1"/>
  <c r="EA69" i="4"/>
  <c r="EB51" i="4"/>
  <c r="ED23" i="4"/>
  <c r="EC25" i="4"/>
  <c r="DK133" i="4" l="1"/>
  <c r="DZ167" i="4"/>
  <c r="DX171" i="4"/>
  <c r="DY171" i="4"/>
  <c r="DH141" i="4"/>
  <c r="DI223" i="4"/>
  <c r="DI221" i="4"/>
  <c r="DU213" i="4"/>
  <c r="DY147" i="4"/>
  <c r="DI219" i="4"/>
  <c r="X64" i="9"/>
  <c r="DV49" i="4"/>
  <c r="DW47" i="4"/>
  <c r="DZ39" i="4"/>
  <c r="DZ41" i="4" s="1"/>
  <c r="DZ145" i="4" s="1"/>
  <c r="DX27" i="4"/>
  <c r="DW29" i="4"/>
  <c r="DW211" i="4" s="1"/>
  <c r="X28" i="9" s="1"/>
  <c r="DG139" i="4"/>
  <c r="DG143" i="4"/>
  <c r="DI135" i="4"/>
  <c r="DI137" i="4" s="1"/>
  <c r="DI141" i="4" s="1"/>
  <c r="DZ155" i="4"/>
  <c r="DZ157" i="4" s="1"/>
  <c r="EB179" i="4"/>
  <c r="DZ115" i="4"/>
  <c r="DZ169" i="4" s="1"/>
  <c r="EA121" i="4"/>
  <c r="EA123" i="4" s="1"/>
  <c r="EA173" i="4" s="1"/>
  <c r="EA175" i="4" s="1"/>
  <c r="DH153" i="4"/>
  <c r="DI159" i="4"/>
  <c r="DG153" i="4"/>
  <c r="DI149" i="4"/>
  <c r="DI151" i="4" s="1"/>
  <c r="EA99" i="4"/>
  <c r="DI131" i="4"/>
  <c r="DJ77" i="4"/>
  <c r="DJ205" i="4" s="1"/>
  <c r="DH139" i="4"/>
  <c r="EB107" i="4"/>
  <c r="DL55" i="4"/>
  <c r="DL67" i="4" s="1"/>
  <c r="DJ81" i="4"/>
  <c r="DJ207" i="4" s="1"/>
  <c r="DJ129" i="4"/>
  <c r="DK63" i="4"/>
  <c r="DJ125" i="4"/>
  <c r="DJ127" i="4"/>
  <c r="DK67" i="4"/>
  <c r="DJ85" i="4"/>
  <c r="DJ209" i="4" s="1"/>
  <c r="EA73" i="4"/>
  <c r="EA155" i="4" s="1"/>
  <c r="EB117" i="4"/>
  <c r="EA37" i="4"/>
  <c r="EB101" i="4"/>
  <c r="EB33" i="4"/>
  <c r="EC95" i="4"/>
  <c r="EC103" i="4"/>
  <c r="EB97" i="4"/>
  <c r="EB93" i="4"/>
  <c r="EC83" i="4"/>
  <c r="EC87" i="4"/>
  <c r="EC31" i="4"/>
  <c r="EC79" i="4"/>
  <c r="EB71" i="4"/>
  <c r="EB75" i="4" s="1"/>
  <c r="EB69" i="4"/>
  <c r="EC51" i="4"/>
  <c r="EE23" i="4"/>
  <c r="ED25" i="4"/>
  <c r="EA157" i="4" l="1"/>
  <c r="DZ171" i="4"/>
  <c r="DJ221" i="4"/>
  <c r="DJ223" i="4"/>
  <c r="DV213" i="4"/>
  <c r="DZ147" i="4"/>
  <c r="DJ219" i="4"/>
  <c r="DW49" i="4"/>
  <c r="DX47" i="4"/>
  <c r="EA39" i="4"/>
  <c r="EA41" i="4" s="1"/>
  <c r="EA145" i="4" s="1"/>
  <c r="DY27" i="4"/>
  <c r="DX29" i="4"/>
  <c r="DX211" i="4" s="1"/>
  <c r="DI143" i="4"/>
  <c r="DI139" i="4"/>
  <c r="DJ135" i="4"/>
  <c r="DJ137" i="4" s="1"/>
  <c r="DJ141" i="4" s="1"/>
  <c r="EA113" i="4"/>
  <c r="EA165" i="4" s="1"/>
  <c r="EC179" i="4"/>
  <c r="EB121" i="4"/>
  <c r="EB123" i="4" s="1"/>
  <c r="EB173" i="4" s="1"/>
  <c r="DI153" i="4"/>
  <c r="DJ159" i="4"/>
  <c r="EB99" i="4"/>
  <c r="EB113" i="4" s="1"/>
  <c r="DJ149" i="4"/>
  <c r="DJ151" i="4" s="1"/>
  <c r="DK77" i="4"/>
  <c r="DK205" i="4" s="1"/>
  <c r="DH143" i="4"/>
  <c r="W52" i="9"/>
  <c r="DK125" i="4"/>
  <c r="W17" i="9" s="1"/>
  <c r="DJ131" i="4"/>
  <c r="DL59" i="4"/>
  <c r="DL133" i="4" s="1"/>
  <c r="DK81" i="4"/>
  <c r="DK207" i="4" s="1"/>
  <c r="DK129" i="4"/>
  <c r="W21" i="9" s="1"/>
  <c r="DL63" i="4"/>
  <c r="DK85" i="4"/>
  <c r="DL129" i="4"/>
  <c r="DK127" i="4"/>
  <c r="W19" i="9" s="1"/>
  <c r="EC107" i="4"/>
  <c r="DM55" i="4"/>
  <c r="DM63" i="4" s="1"/>
  <c r="EB73" i="4"/>
  <c r="EB155" i="4" s="1"/>
  <c r="EC117" i="4"/>
  <c r="EB37" i="4"/>
  <c r="EC101" i="4"/>
  <c r="EC33" i="4"/>
  <c r="ED95" i="4"/>
  <c r="ED103" i="4"/>
  <c r="EC97" i="4"/>
  <c r="EC93" i="4"/>
  <c r="ED83" i="4"/>
  <c r="ED87" i="4"/>
  <c r="ED31" i="4"/>
  <c r="ED79" i="4"/>
  <c r="EC71" i="4"/>
  <c r="EC75" i="4" s="1"/>
  <c r="EC69" i="4"/>
  <c r="ED51" i="4"/>
  <c r="EF23" i="4"/>
  <c r="EE25" i="4"/>
  <c r="EB157" i="4" l="1"/>
  <c r="EB165" i="4"/>
  <c r="EB167" i="4" s="1"/>
  <c r="EB175" i="4"/>
  <c r="EA167" i="4"/>
  <c r="EA115" i="4"/>
  <c r="DK223" i="4"/>
  <c r="DK221" i="4"/>
  <c r="DW213" i="4"/>
  <c r="X30" i="9" s="1"/>
  <c r="DL127" i="4"/>
  <c r="EA147" i="4"/>
  <c r="DK209" i="4"/>
  <c r="DK219" i="4"/>
  <c r="DJ143" i="4"/>
  <c r="DX49" i="4"/>
  <c r="DY47" i="4"/>
  <c r="EB39" i="4"/>
  <c r="EB41" i="4" s="1"/>
  <c r="EB145" i="4" s="1"/>
  <c r="DZ27" i="4"/>
  <c r="DY29" i="4"/>
  <c r="DY211" i="4" s="1"/>
  <c r="DJ139" i="4"/>
  <c r="DK135" i="4"/>
  <c r="DK137" i="4" s="1"/>
  <c r="ED179" i="4"/>
  <c r="EB115" i="4"/>
  <c r="EC121" i="4"/>
  <c r="EC123" i="4" s="1"/>
  <c r="EC173" i="4" s="1"/>
  <c r="DJ153" i="4"/>
  <c r="DK159" i="4"/>
  <c r="EC99" i="4"/>
  <c r="DK149" i="4"/>
  <c r="DK151" i="4" s="1"/>
  <c r="DK131" i="4"/>
  <c r="DM127" i="4"/>
  <c r="ED107" i="4"/>
  <c r="DN55" i="4"/>
  <c r="DM67" i="4"/>
  <c r="DL81" i="4"/>
  <c r="DM59" i="4"/>
  <c r="DM133" i="4" s="1"/>
  <c r="DL85" i="4"/>
  <c r="DL125" i="4"/>
  <c r="DL77" i="4"/>
  <c r="EC73" i="4"/>
  <c r="EC155" i="4" s="1"/>
  <c r="ED117" i="4"/>
  <c r="EC37" i="4"/>
  <c r="ED101" i="4"/>
  <c r="ED33" i="4"/>
  <c r="EE95" i="4"/>
  <c r="EE103" i="4"/>
  <c r="ED97" i="4"/>
  <c r="ED93" i="4"/>
  <c r="EE83" i="4"/>
  <c r="EE87" i="4"/>
  <c r="EE31" i="4"/>
  <c r="EE79" i="4"/>
  <c r="ED71" i="4"/>
  <c r="ED75" i="4" s="1"/>
  <c r="ED69" i="4"/>
  <c r="EE51" i="4"/>
  <c r="EG23" i="4"/>
  <c r="EF25" i="4"/>
  <c r="EC157" i="4" l="1"/>
  <c r="EC175" i="4"/>
  <c r="EA169" i="4"/>
  <c r="EA171" i="4" s="1"/>
  <c r="DK139" i="4"/>
  <c r="W43" i="9" s="1"/>
  <c r="DK141" i="4"/>
  <c r="DK143" i="4" s="1"/>
  <c r="W34" i="9"/>
  <c r="W72" i="9"/>
  <c r="DL223" i="4"/>
  <c r="DL221" i="4"/>
  <c r="DX213" i="4"/>
  <c r="DL131" i="4"/>
  <c r="DL219" i="4"/>
  <c r="EB147" i="4"/>
  <c r="W37" i="7"/>
  <c r="W60" i="5"/>
  <c r="W15" i="9"/>
  <c r="DY49" i="4"/>
  <c r="DZ47" i="4"/>
  <c r="EC39" i="4"/>
  <c r="EC41" i="4" s="1"/>
  <c r="EC145" i="4" s="1"/>
  <c r="EA27" i="4"/>
  <c r="DZ29" i="4"/>
  <c r="DZ211" i="4" s="1"/>
  <c r="DL207" i="4"/>
  <c r="DL205" i="4"/>
  <c r="DL209" i="4"/>
  <c r="DL135" i="4"/>
  <c r="DM81" i="4"/>
  <c r="DM207" i="4" s="1"/>
  <c r="EC113" i="4"/>
  <c r="EE179" i="4"/>
  <c r="ED121" i="4"/>
  <c r="ED123" i="4" s="1"/>
  <c r="ED173" i="4" s="1"/>
  <c r="ED175" i="4" s="1"/>
  <c r="DM85" i="4"/>
  <c r="DM209" i="4" s="1"/>
  <c r="ED99" i="4"/>
  <c r="ED113" i="4" s="1"/>
  <c r="DM77" i="4"/>
  <c r="DM205" i="4" s="1"/>
  <c r="DL149" i="4"/>
  <c r="DL151" i="4" s="1"/>
  <c r="DM125" i="4"/>
  <c r="DM129" i="4"/>
  <c r="EE107" i="4"/>
  <c r="DO55" i="4"/>
  <c r="DN63" i="4"/>
  <c r="DN67" i="4"/>
  <c r="DN129" i="4" s="1"/>
  <c r="DN59" i="4"/>
  <c r="DN133" i="4" s="1"/>
  <c r="ED73" i="4"/>
  <c r="EE117" i="4"/>
  <c r="EE101" i="4"/>
  <c r="ED37" i="4"/>
  <c r="EE33" i="4"/>
  <c r="EF95" i="4"/>
  <c r="EF103" i="4"/>
  <c r="EE97" i="4"/>
  <c r="EE93" i="4"/>
  <c r="EF83" i="4"/>
  <c r="EF87" i="4"/>
  <c r="EF31" i="4"/>
  <c r="EF79" i="4"/>
  <c r="DT55" i="4"/>
  <c r="EE71" i="4"/>
  <c r="EE75" i="4" s="1"/>
  <c r="EE69" i="4"/>
  <c r="EF51" i="4"/>
  <c r="EH23" i="4"/>
  <c r="EG25" i="4"/>
  <c r="EB169" i="4" l="1"/>
  <c r="EB171" i="4" s="1"/>
  <c r="EC165" i="4"/>
  <c r="ED165" i="4" s="1"/>
  <c r="W41" i="9"/>
  <c r="DM223" i="4"/>
  <c r="DM221" i="4"/>
  <c r="DY213" i="4"/>
  <c r="EC147" i="4"/>
  <c r="DM219" i="4"/>
  <c r="W68" i="9"/>
  <c r="X46" i="8"/>
  <c r="DK153" i="4"/>
  <c r="W56" i="9"/>
  <c r="DZ49" i="4"/>
  <c r="EA47" i="4"/>
  <c r="ED39" i="4"/>
  <c r="ED41" i="4" s="1"/>
  <c r="ED145" i="4" s="1"/>
  <c r="EB27" i="4"/>
  <c r="EA29" i="4"/>
  <c r="EA211" i="4" s="1"/>
  <c r="DL137" i="4"/>
  <c r="EC115" i="4"/>
  <c r="ED155" i="4"/>
  <c r="ED157" i="4" s="1"/>
  <c r="EF179" i="4"/>
  <c r="EE121" i="4"/>
  <c r="EE123" i="4" s="1"/>
  <c r="EE173" i="4" s="1"/>
  <c r="ED115" i="4"/>
  <c r="DL153" i="4"/>
  <c r="DM149" i="4"/>
  <c r="DM151" i="4" s="1"/>
  <c r="DN85" i="4"/>
  <c r="DN209" i="4" s="1"/>
  <c r="DL159" i="4"/>
  <c r="EE99" i="4"/>
  <c r="DM131" i="4"/>
  <c r="DM135" i="4"/>
  <c r="DM137" i="4" s="1"/>
  <c r="DN81" i="4"/>
  <c r="DN207" i="4" s="1"/>
  <c r="DN77" i="4"/>
  <c r="DN205" i="4" s="1"/>
  <c r="DO67" i="4"/>
  <c r="EF107" i="4"/>
  <c r="DP55" i="4"/>
  <c r="DO59" i="4"/>
  <c r="DO133" i="4" s="1"/>
  <c r="DN125" i="4"/>
  <c r="DO63" i="4"/>
  <c r="DN127" i="4"/>
  <c r="EE73" i="4"/>
  <c r="EE155" i="4" s="1"/>
  <c r="EF117" i="4"/>
  <c r="EF101" i="4"/>
  <c r="EE37" i="4"/>
  <c r="EF33" i="4"/>
  <c r="EG95" i="4"/>
  <c r="EG103" i="4"/>
  <c r="EF97" i="4"/>
  <c r="EF93" i="4"/>
  <c r="EG83" i="4"/>
  <c r="EG87" i="4"/>
  <c r="EG31" i="4"/>
  <c r="EG79" i="4"/>
  <c r="EB55" i="4"/>
  <c r="DU55" i="4"/>
  <c r="EF71" i="4"/>
  <c r="EF75" i="4" s="1"/>
  <c r="EF69" i="4"/>
  <c r="EG51" i="4"/>
  <c r="DQ55" i="4" s="1"/>
  <c r="EI23" i="4"/>
  <c r="EH25" i="4"/>
  <c r="EC169" i="4" l="1"/>
  <c r="ED169" i="4" s="1"/>
  <c r="ED171" i="4" s="1"/>
  <c r="DM141" i="4"/>
  <c r="EE175" i="4"/>
  <c r="EE157" i="4"/>
  <c r="ED167" i="4"/>
  <c r="EC167" i="4"/>
  <c r="DL141" i="4"/>
  <c r="DL143" i="4" s="1"/>
  <c r="DN223" i="4"/>
  <c r="DN221" i="4"/>
  <c r="DZ213" i="4"/>
  <c r="DN219" i="4"/>
  <c r="ED147" i="4"/>
  <c r="EA49" i="4"/>
  <c r="EB47" i="4"/>
  <c r="EE39" i="4"/>
  <c r="EE41" i="4" s="1"/>
  <c r="EE145" i="4" s="1"/>
  <c r="EC27" i="4"/>
  <c r="EB29" i="4"/>
  <c r="EB211" i="4" s="1"/>
  <c r="DL139" i="4"/>
  <c r="DN135" i="4"/>
  <c r="EE113" i="4"/>
  <c r="EE165" i="4" s="1"/>
  <c r="EG179" i="4"/>
  <c r="EF121" i="4"/>
  <c r="EF123" i="4" s="1"/>
  <c r="EF173" i="4" s="1"/>
  <c r="DM153" i="4"/>
  <c r="DM159" i="4"/>
  <c r="EF99" i="4"/>
  <c r="EF113" i="4" s="1"/>
  <c r="DN149" i="4"/>
  <c r="DN151" i="4" s="1"/>
  <c r="DO77" i="4"/>
  <c r="DM139" i="4"/>
  <c r="DO125" i="4"/>
  <c r="DO127" i="4"/>
  <c r="DN131" i="4"/>
  <c r="DQ67" i="4"/>
  <c r="DQ59" i="4"/>
  <c r="DP63" i="4"/>
  <c r="DP67" i="4"/>
  <c r="DO85" i="4"/>
  <c r="DO209" i="4" s="1"/>
  <c r="DO129" i="4"/>
  <c r="DP59" i="4"/>
  <c r="DP133" i="4" s="1"/>
  <c r="DO81" i="4"/>
  <c r="DO207" i="4" s="1"/>
  <c r="DQ63" i="4"/>
  <c r="EG107" i="4"/>
  <c r="EF73" i="4"/>
  <c r="EF155" i="4" s="1"/>
  <c r="EG117" i="4"/>
  <c r="EF37" i="4"/>
  <c r="EG101" i="4"/>
  <c r="EG33" i="4"/>
  <c r="EH95" i="4"/>
  <c r="EH103" i="4"/>
  <c r="EG97" i="4"/>
  <c r="EH87" i="4"/>
  <c r="EG93" i="4"/>
  <c r="EH79" i="4"/>
  <c r="EH83" i="4"/>
  <c r="EC55" i="4"/>
  <c r="DV55" i="4"/>
  <c r="EI25" i="4"/>
  <c r="EG71" i="4"/>
  <c r="EG75" i="4" s="1"/>
  <c r="EG69" i="4"/>
  <c r="EH31" i="4"/>
  <c r="EH51" i="4"/>
  <c r="DQ133" i="4" l="1"/>
  <c r="EC171" i="4"/>
  <c r="EF165" i="4"/>
  <c r="EF167" i="4" s="1"/>
  <c r="EE167" i="4"/>
  <c r="EF175" i="4"/>
  <c r="EF157" i="4"/>
  <c r="EE115" i="4"/>
  <c r="DO223" i="4"/>
  <c r="DO221" i="4"/>
  <c r="EE147" i="4"/>
  <c r="EA213" i="4"/>
  <c r="DO219" i="4"/>
  <c r="EB49" i="4"/>
  <c r="EC47" i="4"/>
  <c r="EF39" i="4"/>
  <c r="EF41" i="4" s="1"/>
  <c r="EF145" i="4" s="1"/>
  <c r="ED27" i="4"/>
  <c r="EC29" i="4"/>
  <c r="EC211" i="4" s="1"/>
  <c r="DN137" i="4"/>
  <c r="DO205" i="4"/>
  <c r="DO135" i="4"/>
  <c r="EH179" i="4"/>
  <c r="Y32" i="9"/>
  <c r="EF115" i="4"/>
  <c r="EG121" i="4"/>
  <c r="EG123" i="4" s="1"/>
  <c r="EG173" i="4" s="1"/>
  <c r="DN159" i="4"/>
  <c r="DO159" i="4"/>
  <c r="EG99" i="4"/>
  <c r="EG113" i="4" s="1"/>
  <c r="EG165" i="4" s="1"/>
  <c r="DO149" i="4"/>
  <c r="DO151" i="4" s="1"/>
  <c r="DM143" i="4"/>
  <c r="DO131" i="4"/>
  <c r="DP81" i="4"/>
  <c r="DP207" i="4" s="1"/>
  <c r="DQ125" i="4"/>
  <c r="DP85" i="4"/>
  <c r="DQ129" i="4"/>
  <c r="DP127" i="4"/>
  <c r="DQ127" i="4"/>
  <c r="DY55" i="4"/>
  <c r="DR55" i="4"/>
  <c r="DP129" i="4"/>
  <c r="DP77" i="4"/>
  <c r="DP205" i="4" s="1"/>
  <c r="DP125" i="4"/>
  <c r="EH107" i="4"/>
  <c r="EG73" i="4"/>
  <c r="EG155" i="4" s="1"/>
  <c r="EH117" i="4"/>
  <c r="EH101" i="4"/>
  <c r="EG37" i="4"/>
  <c r="EI95" i="4"/>
  <c r="EI103" i="4"/>
  <c r="EH97" i="4"/>
  <c r="EI87" i="4"/>
  <c r="EH93" i="4"/>
  <c r="EI79" i="4"/>
  <c r="EI83" i="4"/>
  <c r="Q25" i="4"/>
  <c r="ED55" i="4"/>
  <c r="DW55" i="4"/>
  <c r="EH33" i="4"/>
  <c r="EH71" i="4"/>
  <c r="EH75" i="4" s="1"/>
  <c r="EH69" i="4"/>
  <c r="EI51" i="4"/>
  <c r="Q51" i="4" s="1"/>
  <c r="EI31" i="4"/>
  <c r="Q105" i="4" s="1"/>
  <c r="EG157" i="4" l="1"/>
  <c r="EG167" i="4"/>
  <c r="EE169" i="4"/>
  <c r="EE171" i="4" s="1"/>
  <c r="EG175" i="4"/>
  <c r="DN141" i="4"/>
  <c r="DN143" i="4" s="1"/>
  <c r="P21" i="5"/>
  <c r="Q21" i="5"/>
  <c r="R21" i="5"/>
  <c r="S21" i="5"/>
  <c r="T21" i="5"/>
  <c r="U21" i="5"/>
  <c r="V21" i="5"/>
  <c r="W21" i="5"/>
  <c r="X21" i="5"/>
  <c r="Y21" i="5"/>
  <c r="DP223" i="4"/>
  <c r="DP221" i="4"/>
  <c r="P22" i="5"/>
  <c r="Q22" i="5"/>
  <c r="R22" i="5"/>
  <c r="S22" i="5"/>
  <c r="T22" i="5"/>
  <c r="U22" i="5"/>
  <c r="V22" i="5"/>
  <c r="W22" i="5"/>
  <c r="X22" i="5"/>
  <c r="Y22" i="5"/>
  <c r="P20" i="5"/>
  <c r="Q20" i="5"/>
  <c r="R20" i="5"/>
  <c r="S20" i="5"/>
  <c r="T20" i="5"/>
  <c r="U20" i="5"/>
  <c r="V20" i="5"/>
  <c r="W20" i="5"/>
  <c r="X20" i="5"/>
  <c r="Y20" i="5"/>
  <c r="DP209" i="4"/>
  <c r="EB213" i="4"/>
  <c r="DP219" i="4"/>
  <c r="EI179" i="4"/>
  <c r="EC49" i="4"/>
  <c r="ED47" i="4"/>
  <c r="EG39" i="4"/>
  <c r="EG41" i="4" s="1"/>
  <c r="EG145" i="4" s="1"/>
  <c r="EE27" i="4"/>
  <c r="ED29" i="4"/>
  <c r="ED211" i="4" s="1"/>
  <c r="DN139" i="4"/>
  <c r="DO137" i="4"/>
  <c r="DO141" i="4" s="1"/>
  <c r="P26" i="8"/>
  <c r="Q26" i="8"/>
  <c r="R26" i="8"/>
  <c r="S26" i="8"/>
  <c r="T26" i="8"/>
  <c r="U26" i="8"/>
  <c r="V26" i="8"/>
  <c r="W26" i="8"/>
  <c r="X26" i="8"/>
  <c r="DQ81" i="4"/>
  <c r="DQ207" i="4" s="1"/>
  <c r="DP135" i="4"/>
  <c r="EF147" i="4"/>
  <c r="EG115" i="4"/>
  <c r="EH121" i="4"/>
  <c r="EH123" i="4" s="1"/>
  <c r="EH173" i="4" s="1"/>
  <c r="DQ85" i="4"/>
  <c r="DO153" i="4"/>
  <c r="DN153" i="4"/>
  <c r="EH99" i="4"/>
  <c r="EH113" i="4" s="1"/>
  <c r="EH165" i="4" s="1"/>
  <c r="DQ77" i="4"/>
  <c r="DQ205" i="4" s="1"/>
  <c r="DP149" i="4"/>
  <c r="DP151" i="4" s="1"/>
  <c r="DP131" i="4"/>
  <c r="DR67" i="4"/>
  <c r="DR59" i="4"/>
  <c r="DR133" i="4" s="1"/>
  <c r="DR63" i="4"/>
  <c r="DZ55" i="4"/>
  <c r="DS55" i="4"/>
  <c r="DT59" i="4" s="1"/>
  <c r="DQ131" i="4"/>
  <c r="EI107" i="4"/>
  <c r="EA55" i="4"/>
  <c r="EH73" i="4"/>
  <c r="EH155" i="4" s="1"/>
  <c r="P53" i="5"/>
  <c r="Q53" i="5"/>
  <c r="R53" i="5"/>
  <c r="S53" i="5"/>
  <c r="T53" i="5"/>
  <c r="U53" i="5"/>
  <c r="V53" i="5"/>
  <c r="W53" i="5"/>
  <c r="X53" i="5"/>
  <c r="Q79" i="4"/>
  <c r="Q87" i="4"/>
  <c r="P34" i="5"/>
  <c r="Q34" i="5"/>
  <c r="R34" i="5"/>
  <c r="S34" i="5"/>
  <c r="T34" i="5"/>
  <c r="U34" i="5"/>
  <c r="V34" i="5"/>
  <c r="W34" i="5"/>
  <c r="X34" i="5"/>
  <c r="Y34" i="5"/>
  <c r="P32" i="5"/>
  <c r="Q32" i="5"/>
  <c r="R32" i="5"/>
  <c r="S32" i="5"/>
  <c r="T32" i="5"/>
  <c r="U32" i="5"/>
  <c r="V32" i="5"/>
  <c r="W32" i="5"/>
  <c r="X32" i="5"/>
  <c r="Y32" i="5"/>
  <c r="EI117" i="4"/>
  <c r="Q95" i="4"/>
  <c r="EI101" i="4"/>
  <c r="EI97" i="4"/>
  <c r="EI93" i="4"/>
  <c r="EH37" i="4"/>
  <c r="EE55" i="4"/>
  <c r="DX55" i="4"/>
  <c r="EI33" i="4"/>
  <c r="EI71" i="4"/>
  <c r="EI75" i="4" s="1"/>
  <c r="EI69" i="4"/>
  <c r="EF169" i="4" l="1"/>
  <c r="EF171" i="4" s="1"/>
  <c r="EH175" i="4"/>
  <c r="EH167" i="4"/>
  <c r="EH157" i="4"/>
  <c r="Y26" i="8"/>
  <c r="P26" i="5"/>
  <c r="P26" i="7"/>
  <c r="Q26" i="5"/>
  <c r="Q26" i="7"/>
  <c r="R26" i="7"/>
  <c r="R26" i="5"/>
  <c r="S26" i="7"/>
  <c r="S26" i="5"/>
  <c r="T26" i="7"/>
  <c r="T26" i="5"/>
  <c r="U26" i="5"/>
  <c r="U26" i="7"/>
  <c r="V26" i="7"/>
  <c r="V26" i="5"/>
  <c r="W26" i="7"/>
  <c r="W26" i="5"/>
  <c r="X26" i="7"/>
  <c r="X26" i="5"/>
  <c r="Y26" i="7"/>
  <c r="Y26" i="5"/>
  <c r="DQ223" i="4"/>
  <c r="DQ221" i="4"/>
  <c r="EC213" i="4"/>
  <c r="DQ219" i="4"/>
  <c r="ED49" i="4"/>
  <c r="EE47" i="4"/>
  <c r="EF27" i="4"/>
  <c r="EE29" i="4"/>
  <c r="EE211" i="4" s="1"/>
  <c r="DP137" i="4"/>
  <c r="DO139" i="4"/>
  <c r="DO143" i="4"/>
  <c r="DR81" i="4"/>
  <c r="DR207" i="4" s="1"/>
  <c r="DQ209" i="4"/>
  <c r="DQ135" i="4"/>
  <c r="DQ137" i="4" s="1"/>
  <c r="Q107" i="4"/>
  <c r="EH115" i="4"/>
  <c r="EI121" i="4"/>
  <c r="EI123" i="4" s="1"/>
  <c r="EI173" i="4" s="1"/>
  <c r="EI175" i="4" s="1"/>
  <c r="DQ149" i="4"/>
  <c r="DQ151" i="4" s="1"/>
  <c r="DP159" i="4"/>
  <c r="EI99" i="4"/>
  <c r="Y53" i="5"/>
  <c r="M53" i="5" s="1"/>
  <c r="ED63" i="4"/>
  <c r="DW59" i="4"/>
  <c r="DW67" i="4"/>
  <c r="DW63" i="4"/>
  <c r="DT63" i="4"/>
  <c r="DS59" i="4"/>
  <c r="DS133" i="4" s="1"/>
  <c r="DT133" i="4" s="1"/>
  <c r="DS63" i="4"/>
  <c r="DS67" i="4"/>
  <c r="DS129" i="4" s="1"/>
  <c r="DR127" i="4"/>
  <c r="DR77" i="4"/>
  <c r="DR205" i="4" s="1"/>
  <c r="DR125" i="4"/>
  <c r="DV67" i="4"/>
  <c r="DT67" i="4"/>
  <c r="DV63" i="4"/>
  <c r="DU59" i="4"/>
  <c r="DR85" i="4"/>
  <c r="DR209" i="4" s="1"/>
  <c r="DR129" i="4"/>
  <c r="DV59" i="4"/>
  <c r="DU63" i="4"/>
  <c r="DU67" i="4"/>
  <c r="EI73" i="4"/>
  <c r="W19" i="5"/>
  <c r="P19" i="5"/>
  <c r="Y19" i="5"/>
  <c r="X19" i="5"/>
  <c r="V19" i="5"/>
  <c r="U19" i="5"/>
  <c r="T19" i="5"/>
  <c r="S19" i="5"/>
  <c r="R19" i="5"/>
  <c r="Q19" i="5"/>
  <c r="M22" i="5"/>
  <c r="M34" i="5"/>
  <c r="M32" i="5"/>
  <c r="P49" i="5"/>
  <c r="Q49" i="5"/>
  <c r="R49" i="5"/>
  <c r="S49" i="5"/>
  <c r="T49" i="5"/>
  <c r="U49" i="5"/>
  <c r="V49" i="5"/>
  <c r="W49" i="5"/>
  <c r="X49" i="5"/>
  <c r="Y49" i="5"/>
  <c r="P50" i="5"/>
  <c r="Q50" i="5"/>
  <c r="R50" i="5"/>
  <c r="S50" i="5"/>
  <c r="T50" i="5"/>
  <c r="U50" i="5"/>
  <c r="V50" i="5"/>
  <c r="W50" i="5"/>
  <c r="X50" i="5"/>
  <c r="Y50" i="5"/>
  <c r="P33" i="5"/>
  <c r="P31" i="5" s="1"/>
  <c r="P37" i="5" s="1"/>
  <c r="Q33" i="5"/>
  <c r="Q31" i="5" s="1"/>
  <c r="Q37" i="5" s="1"/>
  <c r="R33" i="5"/>
  <c r="R31" i="5" s="1"/>
  <c r="R37" i="5" s="1"/>
  <c r="S33" i="5"/>
  <c r="S31" i="5" s="1"/>
  <c r="S37" i="5" s="1"/>
  <c r="T33" i="5"/>
  <c r="T31" i="5" s="1"/>
  <c r="T37" i="5" s="1"/>
  <c r="U33" i="5"/>
  <c r="U31" i="5" s="1"/>
  <c r="U37" i="5" s="1"/>
  <c r="V33" i="5"/>
  <c r="V31" i="5" s="1"/>
  <c r="V37" i="5" s="1"/>
  <c r="W33" i="5"/>
  <c r="W31" i="5" s="1"/>
  <c r="W37" i="5" s="1"/>
  <c r="X33" i="5"/>
  <c r="X31" i="5" s="1"/>
  <c r="X37" i="5" s="1"/>
  <c r="P51" i="5"/>
  <c r="Q51" i="5"/>
  <c r="R51" i="5"/>
  <c r="S51" i="5"/>
  <c r="T51" i="5"/>
  <c r="U51" i="5"/>
  <c r="V51" i="5"/>
  <c r="W51" i="5"/>
  <c r="X51" i="5"/>
  <c r="Y51" i="5"/>
  <c r="Q75" i="4"/>
  <c r="EH39" i="4"/>
  <c r="Q101" i="4"/>
  <c r="Q97" i="4"/>
  <c r="EI37" i="4"/>
  <c r="Q83" i="4"/>
  <c r="Q33" i="4"/>
  <c r="EE67" i="4"/>
  <c r="ED67" i="4"/>
  <c r="EC67" i="4"/>
  <c r="EA59" i="4"/>
  <c r="EA63" i="4"/>
  <c r="EA67" i="4"/>
  <c r="DZ59" i="4"/>
  <c r="ED59" i="4"/>
  <c r="EB59" i="4"/>
  <c r="EB63" i="4"/>
  <c r="EF67" i="4"/>
  <c r="EC63" i="4"/>
  <c r="EC59" i="4"/>
  <c r="EB67" i="4"/>
  <c r="EH67" i="4"/>
  <c r="DZ63" i="4"/>
  <c r="DX67" i="4"/>
  <c r="DX63" i="4"/>
  <c r="DY67" i="4"/>
  <c r="DX59" i="4"/>
  <c r="DZ67" i="4"/>
  <c r="DY63" i="4"/>
  <c r="EG67" i="4"/>
  <c r="EI67" i="4"/>
  <c r="DY59" i="4"/>
  <c r="EE63" i="4"/>
  <c r="EF63" i="4"/>
  <c r="EH63" i="4"/>
  <c r="EG63" i="4"/>
  <c r="EI63" i="4"/>
  <c r="EI59" i="4"/>
  <c r="EE59" i="4"/>
  <c r="EF59" i="4"/>
  <c r="EH59" i="4"/>
  <c r="EG59" i="4"/>
  <c r="Q55" i="4"/>
  <c r="DU133" i="4" l="1"/>
  <c r="DV133" i="4" s="1"/>
  <c r="DW133" i="4" s="1"/>
  <c r="DX133" i="4" s="1"/>
  <c r="DY133" i="4" s="1"/>
  <c r="DZ133" i="4" s="1"/>
  <c r="EA133" i="4" s="1"/>
  <c r="EB133" i="4" s="1"/>
  <c r="EC133" i="4" s="1"/>
  <c r="ED133" i="4" s="1"/>
  <c r="EE133" i="4" s="1"/>
  <c r="EF133" i="4" s="1"/>
  <c r="EG133" i="4" s="1"/>
  <c r="EH133" i="4" s="1"/>
  <c r="EI133" i="4" s="1"/>
  <c r="EG169" i="4"/>
  <c r="DQ141" i="4"/>
  <c r="DP139" i="4"/>
  <c r="DP141" i="4"/>
  <c r="DP143" i="4" s="1"/>
  <c r="Y65" i="5"/>
  <c r="DR221" i="4"/>
  <c r="DR223" i="4"/>
  <c r="P25" i="7"/>
  <c r="P25" i="5"/>
  <c r="P24" i="5" s="1"/>
  <c r="P18" i="5" s="1"/>
  <c r="Q25" i="7"/>
  <c r="Q24" i="7" s="1"/>
  <c r="Q25" i="5"/>
  <c r="Q24" i="5" s="1"/>
  <c r="Q18" i="5" s="1"/>
  <c r="R25" i="7"/>
  <c r="R24" i="7" s="1"/>
  <c r="R25" i="5"/>
  <c r="R24" i="5" s="1"/>
  <c r="R18" i="5" s="1"/>
  <c r="S25" i="7"/>
  <c r="S24" i="7" s="1"/>
  <c r="S25" i="5"/>
  <c r="S24" i="5" s="1"/>
  <c r="S18" i="5" s="1"/>
  <c r="T25" i="7"/>
  <c r="T24" i="7" s="1"/>
  <c r="T25" i="5"/>
  <c r="T24" i="5" s="1"/>
  <c r="T18" i="5" s="1"/>
  <c r="U25" i="7"/>
  <c r="U24" i="7" s="1"/>
  <c r="U25" i="5"/>
  <c r="U24" i="5" s="1"/>
  <c r="U18" i="5" s="1"/>
  <c r="V25" i="7"/>
  <c r="V24" i="7" s="1"/>
  <c r="V25" i="5"/>
  <c r="V24" i="5" s="1"/>
  <c r="V18" i="5" s="1"/>
  <c r="W25" i="7"/>
  <c r="W24" i="7" s="1"/>
  <c r="W25" i="5"/>
  <c r="W24" i="5" s="1"/>
  <c r="W18" i="5" s="1"/>
  <c r="X25" i="7"/>
  <c r="X24" i="7" s="1"/>
  <c r="X25" i="5"/>
  <c r="X24" i="5" s="1"/>
  <c r="X18" i="5" s="1"/>
  <c r="Y25" i="5"/>
  <c r="Y24" i="5" s="1"/>
  <c r="Y25" i="7"/>
  <c r="Y24" i="7" s="1"/>
  <c r="P65" i="5"/>
  <c r="Q65" i="5"/>
  <c r="R65" i="5"/>
  <c r="S65" i="5"/>
  <c r="T65" i="5"/>
  <c r="U65" i="5"/>
  <c r="V65" i="5"/>
  <c r="W65" i="5"/>
  <c r="X65" i="5"/>
  <c r="P35" i="7"/>
  <c r="P58" i="5"/>
  <c r="Q58" i="5"/>
  <c r="Q35" i="7"/>
  <c r="R58" i="5"/>
  <c r="R35" i="7"/>
  <c r="S58" i="5"/>
  <c r="S35" i="7"/>
  <c r="T35" i="7"/>
  <c r="T58" i="5"/>
  <c r="U58" i="5"/>
  <c r="U35" i="7"/>
  <c r="V58" i="5"/>
  <c r="V35" i="7"/>
  <c r="W58" i="5"/>
  <c r="W35" i="7"/>
  <c r="X35" i="7"/>
  <c r="X58" i="5"/>
  <c r="Y35" i="7"/>
  <c r="Y58" i="5"/>
  <c r="ED213" i="4"/>
  <c r="DR219" i="4"/>
  <c r="EE49" i="4"/>
  <c r="EF47" i="4"/>
  <c r="DQ139" i="4"/>
  <c r="EG27" i="4"/>
  <c r="EF29" i="4"/>
  <c r="EF211" i="4" s="1"/>
  <c r="DS81" i="4"/>
  <c r="DS207" i="4" s="1"/>
  <c r="M26" i="8"/>
  <c r="DR135" i="4"/>
  <c r="Y33" i="5"/>
  <c r="Y31" i="5" s="1"/>
  <c r="Y37" i="5" s="1"/>
  <c r="M37" i="5" s="1"/>
  <c r="M26" i="7"/>
  <c r="EG147" i="4"/>
  <c r="Q123" i="4"/>
  <c r="DQ153" i="4"/>
  <c r="Q73" i="4"/>
  <c r="EI155" i="4"/>
  <c r="EI157" i="4" s="1"/>
  <c r="DQ159" i="4"/>
  <c r="EI113" i="4"/>
  <c r="EI165" i="4" s="1"/>
  <c r="EI167" i="4" s="1"/>
  <c r="Q99" i="4"/>
  <c r="DP153" i="4"/>
  <c r="DR149" i="4"/>
  <c r="DR151" i="4" s="1"/>
  <c r="DT125" i="4"/>
  <c r="DR131" i="4"/>
  <c r="DS125" i="4"/>
  <c r="DU125" i="4"/>
  <c r="DU129" i="4"/>
  <c r="DW127" i="4"/>
  <c r="X19" i="9" s="1"/>
  <c r="DW129" i="4"/>
  <c r="X21" i="9" s="1"/>
  <c r="DW125" i="4"/>
  <c r="X17" i="9" s="1"/>
  <c r="DV127" i="4"/>
  <c r="DT129" i="4"/>
  <c r="DS77" i="4"/>
  <c r="DS205" i="4" s="1"/>
  <c r="DS127" i="4"/>
  <c r="DS85" i="4"/>
  <c r="DS209" i="4" s="1"/>
  <c r="DU127" i="4"/>
  <c r="DT127" i="4"/>
  <c r="DV129" i="4"/>
  <c r="DV125" i="4"/>
  <c r="DX129" i="4"/>
  <c r="DY129" i="4"/>
  <c r="EH129" i="4"/>
  <c r="EC129" i="4"/>
  <c r="EB129" i="4"/>
  <c r="DZ129" i="4"/>
  <c r="EE129" i="4"/>
  <c r="EA129" i="4"/>
  <c r="ED129" i="4"/>
  <c r="EI129" i="4"/>
  <c r="Y21" i="9" s="1"/>
  <c r="EG129" i="4"/>
  <c r="EF129" i="4"/>
  <c r="EI127" i="4"/>
  <c r="Y19" i="9" s="1"/>
  <c r="EG127" i="4"/>
  <c r="EA127" i="4"/>
  <c r="EH127" i="4"/>
  <c r="DZ127" i="4"/>
  <c r="EF127" i="4"/>
  <c r="EE127" i="4"/>
  <c r="DX127" i="4"/>
  <c r="EC127" i="4"/>
  <c r="DY127" i="4"/>
  <c r="EB127" i="4"/>
  <c r="ED127" i="4"/>
  <c r="EB125" i="4"/>
  <c r="EF125" i="4"/>
  <c r="ED125" i="4"/>
  <c r="EE125" i="4"/>
  <c r="DX125" i="4"/>
  <c r="EI125" i="4"/>
  <c r="Y17" i="9" s="1"/>
  <c r="DZ125" i="4"/>
  <c r="EA125" i="4"/>
  <c r="DY125" i="4"/>
  <c r="EC125" i="4"/>
  <c r="EG125" i="4"/>
  <c r="EH125" i="4"/>
  <c r="V48" i="5"/>
  <c r="V56" i="5" s="1"/>
  <c r="W48" i="5"/>
  <c r="W56" i="5" s="1"/>
  <c r="Y48" i="5"/>
  <c r="Y56" i="5" s="1"/>
  <c r="X48" i="5"/>
  <c r="X56" i="5" s="1"/>
  <c r="U48" i="5"/>
  <c r="U56" i="5" s="1"/>
  <c r="T48" i="5"/>
  <c r="T56" i="5" s="1"/>
  <c r="S48" i="5"/>
  <c r="S56" i="5" s="1"/>
  <c r="R48" i="5"/>
  <c r="R56" i="5" s="1"/>
  <c r="Q48" i="5"/>
  <c r="Q56" i="5" s="1"/>
  <c r="P48" i="5"/>
  <c r="P56" i="5" s="1"/>
  <c r="M19" i="5"/>
  <c r="M26" i="5"/>
  <c r="M49" i="5"/>
  <c r="M50" i="5"/>
  <c r="M51" i="5"/>
  <c r="EI39" i="4"/>
  <c r="Q103" i="4"/>
  <c r="EH41" i="4"/>
  <c r="EH145" i="4" s="1"/>
  <c r="Q93" i="4"/>
  <c r="Q67" i="4"/>
  <c r="Q63" i="4"/>
  <c r="Q59" i="4"/>
  <c r="EG171" i="4" l="1"/>
  <c r="EH169" i="4"/>
  <c r="EH171" i="4" s="1"/>
  <c r="Y58" i="9"/>
  <c r="M58" i="5"/>
  <c r="DS221" i="4"/>
  <c r="DS223" i="4"/>
  <c r="M25" i="5"/>
  <c r="EE213" i="4"/>
  <c r="DS219" i="4"/>
  <c r="EH147" i="4"/>
  <c r="DT81" i="4"/>
  <c r="DT207" i="4" s="1"/>
  <c r="EF49" i="4"/>
  <c r="EG47" i="4"/>
  <c r="DQ143" i="4"/>
  <c r="EH27" i="4"/>
  <c r="EG29" i="4"/>
  <c r="EG211" i="4" s="1"/>
  <c r="DR137" i="4"/>
  <c r="M38" i="8"/>
  <c r="P42" i="7"/>
  <c r="R42" i="7"/>
  <c r="Y42" i="7"/>
  <c r="X42" i="7"/>
  <c r="S42" i="7"/>
  <c r="Q42" i="7"/>
  <c r="W42" i="7"/>
  <c r="V42" i="7"/>
  <c r="U42" i="7"/>
  <c r="T42" i="7"/>
  <c r="Q113" i="4"/>
  <c r="P31" i="7"/>
  <c r="Q31" i="7"/>
  <c r="R31" i="7"/>
  <c r="S31" i="7"/>
  <c r="T31" i="7"/>
  <c r="U31" i="7"/>
  <c r="V31" i="7"/>
  <c r="W31" i="7"/>
  <c r="X31" i="7"/>
  <c r="Y31" i="7"/>
  <c r="M35" i="7"/>
  <c r="M33" i="5"/>
  <c r="M31" i="5"/>
  <c r="M25" i="7"/>
  <c r="P24" i="7"/>
  <c r="Q179" i="4"/>
  <c r="EI115" i="4"/>
  <c r="EI169" i="4" s="1"/>
  <c r="EI171" i="4" s="1"/>
  <c r="DR159" i="4"/>
  <c r="DT85" i="4"/>
  <c r="DR153" i="4"/>
  <c r="DT77" i="4"/>
  <c r="DT205" i="4" s="1"/>
  <c r="DS149" i="4"/>
  <c r="DS151" i="4" s="1"/>
  <c r="Y18" i="5"/>
  <c r="M18" i="5" s="1"/>
  <c r="DS135" i="4"/>
  <c r="DS137" i="4" s="1"/>
  <c r="DS141" i="4" s="1"/>
  <c r="DX131" i="4"/>
  <c r="DU131" i="4"/>
  <c r="DW131" i="4"/>
  <c r="DV131" i="4"/>
  <c r="DS131" i="4"/>
  <c r="DT131" i="4"/>
  <c r="EH131" i="4"/>
  <c r="ED131" i="4"/>
  <c r="EA131" i="4"/>
  <c r="DY131" i="4"/>
  <c r="EG131" i="4"/>
  <c r="EC131" i="4"/>
  <c r="DZ131" i="4"/>
  <c r="EI131" i="4"/>
  <c r="EE131" i="4"/>
  <c r="EF131" i="4"/>
  <c r="EB131" i="4"/>
  <c r="M65" i="5"/>
  <c r="M56" i="5"/>
  <c r="M48" i="5"/>
  <c r="EI41" i="4"/>
  <c r="EI145" i="4" s="1"/>
  <c r="Q64" i="4"/>
  <c r="DR139" i="4" l="1"/>
  <c r="DR141" i="4"/>
  <c r="DR143" i="4" s="1"/>
  <c r="DT223" i="4"/>
  <c r="DT221" i="4"/>
  <c r="EF213" i="4"/>
  <c r="DU81" i="4"/>
  <c r="DU207" i="4" s="1"/>
  <c r="DT209" i="4"/>
  <c r="DT219" i="4"/>
  <c r="Y37" i="7"/>
  <c r="Y68" i="9" s="1"/>
  <c r="Y60" i="5"/>
  <c r="X37" i="7"/>
  <c r="X60" i="5"/>
  <c r="Y66" i="9"/>
  <c r="Y62" i="9"/>
  <c r="X15" i="9"/>
  <c r="Y15" i="9"/>
  <c r="EG49" i="4"/>
  <c r="EH47" i="4"/>
  <c r="EI27" i="4"/>
  <c r="EI29" i="4" s="1"/>
  <c r="EH29" i="4"/>
  <c r="P44" i="8"/>
  <c r="Q44" i="8"/>
  <c r="R44" i="8"/>
  <c r="S44" i="8"/>
  <c r="T44" i="8"/>
  <c r="U44" i="8"/>
  <c r="V44" i="8"/>
  <c r="W44" i="8"/>
  <c r="X44" i="8"/>
  <c r="P40" i="8"/>
  <c r="Q40" i="8"/>
  <c r="R40" i="8"/>
  <c r="S40" i="8"/>
  <c r="T40" i="8"/>
  <c r="U40" i="8"/>
  <c r="V40" i="8"/>
  <c r="W40" i="8"/>
  <c r="X40" i="8"/>
  <c r="M42" i="7"/>
  <c r="P33" i="7"/>
  <c r="Q33" i="7"/>
  <c r="R33" i="7"/>
  <c r="S33" i="7"/>
  <c r="T33" i="7"/>
  <c r="U33" i="7"/>
  <c r="V33" i="7"/>
  <c r="W33" i="7"/>
  <c r="X33" i="7"/>
  <c r="Y33" i="7"/>
  <c r="DU135" i="4"/>
  <c r="DU137" i="4" s="1"/>
  <c r="DT135" i="4"/>
  <c r="DT137" i="4" s="1"/>
  <c r="DT141" i="4" s="1"/>
  <c r="M24" i="7"/>
  <c r="M31" i="7"/>
  <c r="Q41" i="4"/>
  <c r="Q115" i="4"/>
  <c r="DS159" i="4"/>
  <c r="DU85" i="4"/>
  <c r="DS153" i="4"/>
  <c r="DU77" i="4"/>
  <c r="DT149" i="4"/>
  <c r="DT151" i="4" s="1"/>
  <c r="M24" i="5"/>
  <c r="DS139" i="4"/>
  <c r="M21" i="5"/>
  <c r="M20" i="5"/>
  <c r="DV81" i="4" l="1"/>
  <c r="DV207" i="4" s="1"/>
  <c r="Q167" i="4"/>
  <c r="Y44" i="8"/>
  <c r="M44" i="8" s="1"/>
  <c r="DU141" i="4"/>
  <c r="DU223" i="4"/>
  <c r="DU221" i="4"/>
  <c r="M60" i="5"/>
  <c r="EG213" i="4"/>
  <c r="DU205" i="4"/>
  <c r="DU209" i="4"/>
  <c r="DU219" i="4"/>
  <c r="Y40" i="8"/>
  <c r="M40" i="8" s="1"/>
  <c r="Q175" i="4"/>
  <c r="X68" i="9"/>
  <c r="Y46" i="8"/>
  <c r="M37" i="7"/>
  <c r="Y64" i="9"/>
  <c r="EI147" i="4"/>
  <c r="Y54" i="9"/>
  <c r="Q29" i="4"/>
  <c r="EH211" i="4"/>
  <c r="EI211" i="4" s="1"/>
  <c r="Y28" i="9" s="1"/>
  <c r="EH49" i="4"/>
  <c r="EI47" i="4"/>
  <c r="DU139" i="4"/>
  <c r="P32" i="8"/>
  <c r="Q32" i="8"/>
  <c r="R32" i="8"/>
  <c r="S32" i="8"/>
  <c r="T32" i="8"/>
  <c r="U32" i="8"/>
  <c r="V32" i="8"/>
  <c r="W32" i="8"/>
  <c r="X32" i="8"/>
  <c r="DT139" i="4"/>
  <c r="P42" i="8"/>
  <c r="Q42" i="8"/>
  <c r="R42" i="8"/>
  <c r="S42" i="8"/>
  <c r="T42" i="8"/>
  <c r="U42" i="8"/>
  <c r="V42" i="8"/>
  <c r="W42" i="8"/>
  <c r="X42" i="8"/>
  <c r="DT143" i="4"/>
  <c r="M33" i="7"/>
  <c r="DW81" i="4"/>
  <c r="DW207" i="4" s="1"/>
  <c r="DT159" i="4"/>
  <c r="DV85" i="4"/>
  <c r="DT153" i="4"/>
  <c r="DV77" i="4"/>
  <c r="DU149" i="4"/>
  <c r="DU151" i="4" s="1"/>
  <c r="DS143" i="4"/>
  <c r="X52" i="9"/>
  <c r="DV135" i="4"/>
  <c r="DV137" i="4" s="1"/>
  <c r="DV141" i="4" s="1"/>
  <c r="Y32" i="8" l="1"/>
  <c r="Y42" i="8"/>
  <c r="M42" i="8" s="1"/>
  <c r="DV221" i="4"/>
  <c r="DV223" i="4"/>
  <c r="EH213" i="4"/>
  <c r="DV205" i="4"/>
  <c r="EI49" i="4"/>
  <c r="DV209" i="4"/>
  <c r="DV219" i="4"/>
  <c r="Q147" i="4"/>
  <c r="Q171" i="4"/>
  <c r="M46" i="8"/>
  <c r="Q47" i="4"/>
  <c r="DU143" i="4"/>
  <c r="DX81" i="4"/>
  <c r="DW135" i="4"/>
  <c r="DW137" i="4" s="1"/>
  <c r="DU159" i="4"/>
  <c r="DW85" i="4"/>
  <c r="DV159" i="4"/>
  <c r="DU153" i="4"/>
  <c r="DW77" i="4"/>
  <c r="DV149" i="4"/>
  <c r="DV151" i="4" s="1"/>
  <c r="DV139" i="4"/>
  <c r="DV143" i="4"/>
  <c r="DW139" i="4" l="1"/>
  <c r="X43" i="9" s="1"/>
  <c r="DW141" i="4"/>
  <c r="DW143" i="4" s="1"/>
  <c r="P14" i="5"/>
  <c r="Q14" i="5"/>
  <c r="R14" i="5"/>
  <c r="S14" i="5"/>
  <c r="T14" i="5"/>
  <c r="U14" i="5"/>
  <c r="V14" i="5"/>
  <c r="W14" i="5"/>
  <c r="X14" i="5"/>
  <c r="Y14" i="5"/>
  <c r="Y14" i="7" s="1"/>
  <c r="DW223" i="4"/>
  <c r="DW221" i="4"/>
  <c r="EI213" i="4"/>
  <c r="Q49" i="4"/>
  <c r="DW205" i="4"/>
  <c r="DW209" i="4"/>
  <c r="DW219" i="4"/>
  <c r="DX207" i="4"/>
  <c r="DY81" i="4"/>
  <c r="DY207" i="4" s="1"/>
  <c r="DX135" i="4"/>
  <c r="DV153" i="4"/>
  <c r="DX85" i="4"/>
  <c r="DX77" i="4"/>
  <c r="DW149" i="4"/>
  <c r="DW151" i="4" s="1"/>
  <c r="X41" i="9" l="1"/>
  <c r="X34" i="9"/>
  <c r="X72" i="9"/>
  <c r="Y16" i="7"/>
  <c r="Y16" i="5"/>
  <c r="Y40" i="5" s="1"/>
  <c r="W14" i="7"/>
  <c r="W16" i="7" s="1"/>
  <c r="W16" i="5"/>
  <c r="W40" i="5" s="1"/>
  <c r="V16" i="5"/>
  <c r="V40" i="5" s="1"/>
  <c r="V14" i="7"/>
  <c r="V16" i="7" s="1"/>
  <c r="DX223" i="4"/>
  <c r="DX221" i="4"/>
  <c r="U16" i="5"/>
  <c r="U40" i="5" s="1"/>
  <c r="U14" i="7"/>
  <c r="U16" i="7" s="1"/>
  <c r="T16" i="5"/>
  <c r="T40" i="5" s="1"/>
  <c r="T14" i="7"/>
  <c r="T16" i="7" s="1"/>
  <c r="X16" i="5"/>
  <c r="X40" i="5" s="1"/>
  <c r="X14" i="7"/>
  <c r="X16" i="7" s="1"/>
  <c r="S14" i="7"/>
  <c r="S16" i="7" s="1"/>
  <c r="S16" i="5"/>
  <c r="S40" i="5" s="1"/>
  <c r="R16" i="5"/>
  <c r="R40" i="5" s="1"/>
  <c r="R14" i="7"/>
  <c r="R16" i="7" s="1"/>
  <c r="Q14" i="7"/>
  <c r="Q16" i="7" s="1"/>
  <c r="Q16" i="5"/>
  <c r="Q40" i="5" s="1"/>
  <c r="P16" i="5"/>
  <c r="P40" i="5" s="1"/>
  <c r="P14" i="7"/>
  <c r="P16" i="7" s="1"/>
  <c r="M14" i="5"/>
  <c r="Y30" i="9"/>
  <c r="DX219" i="4"/>
  <c r="DX137" i="4"/>
  <c r="DX139" i="4" s="1"/>
  <c r="DX205" i="4"/>
  <c r="DX209" i="4"/>
  <c r="DZ81" i="4"/>
  <c r="DY135" i="4"/>
  <c r="DY137" i="4" s="1"/>
  <c r="DW159" i="4"/>
  <c r="DY85" i="4"/>
  <c r="DY77" i="4"/>
  <c r="DX149" i="4"/>
  <c r="DX151" i="4" s="1"/>
  <c r="DX141" i="4" l="1"/>
  <c r="DX143" i="4" s="1"/>
  <c r="DY141" i="4"/>
  <c r="DY139" i="4"/>
  <c r="M16" i="5"/>
  <c r="DY223" i="4"/>
  <c r="DY221" i="4"/>
  <c r="M40" i="5"/>
  <c r="M16" i="7"/>
  <c r="M14" i="7"/>
  <c r="DY205" i="4"/>
  <c r="DY209" i="4"/>
  <c r="DY219" i="4"/>
  <c r="DW153" i="4"/>
  <c r="X56" i="9"/>
  <c r="DZ207" i="4"/>
  <c r="EA81" i="4"/>
  <c r="DZ135" i="4"/>
  <c r="DX153" i="4"/>
  <c r="DZ85" i="4"/>
  <c r="DX159" i="4"/>
  <c r="DY149" i="4"/>
  <c r="DY151" i="4" s="1"/>
  <c r="DZ77" i="4"/>
  <c r="DZ223" i="4" l="1"/>
  <c r="DZ221" i="4"/>
  <c r="EA207" i="4"/>
  <c r="DZ219" i="4"/>
  <c r="DY143" i="4"/>
  <c r="DZ137" i="4"/>
  <c r="DZ205" i="4"/>
  <c r="DZ209" i="4"/>
  <c r="EB81" i="4"/>
  <c r="EA135" i="4"/>
  <c r="EA137" i="4" s="1"/>
  <c r="DY153" i="4"/>
  <c r="DY159" i="4"/>
  <c r="EA85" i="4"/>
  <c r="EA77" i="4"/>
  <c r="DZ149" i="4"/>
  <c r="DZ151" i="4" s="1"/>
  <c r="EA141" i="4" l="1"/>
  <c r="DZ141" i="4"/>
  <c r="EA223" i="4"/>
  <c r="EA221" i="4"/>
  <c r="EA205" i="4"/>
  <c r="EA209" i="4"/>
  <c r="EA219" i="4"/>
  <c r="DZ139" i="4"/>
  <c r="EB207" i="4"/>
  <c r="EA139" i="4"/>
  <c r="EC81" i="4"/>
  <c r="EC207" i="4" s="1"/>
  <c r="EB135" i="4"/>
  <c r="DZ153" i="4"/>
  <c r="EB85" i="4"/>
  <c r="DZ159" i="4"/>
  <c r="EB77" i="4"/>
  <c r="EA149" i="4"/>
  <c r="EA151" i="4" s="1"/>
  <c r="EA143" i="4" l="1"/>
  <c r="DZ143" i="4"/>
  <c r="EB223" i="4"/>
  <c r="EB221" i="4"/>
  <c r="EB219" i="4"/>
  <c r="EB137" i="4"/>
  <c r="EB209" i="4"/>
  <c r="EB205" i="4"/>
  <c r="ED81" i="4"/>
  <c r="EC135" i="4"/>
  <c r="EC137" i="4" s="1"/>
  <c r="EA153" i="4"/>
  <c r="EC85" i="4"/>
  <c r="EA159" i="4"/>
  <c r="EC77" i="4"/>
  <c r="EB149" i="4"/>
  <c r="EB151" i="4" s="1"/>
  <c r="EC141" i="4" l="1"/>
  <c r="EB141" i="4"/>
  <c r="EB143" i="4" s="1"/>
  <c r="EC223" i="4"/>
  <c r="EC221" i="4"/>
  <c r="EC205" i="4"/>
  <c r="EC209" i="4"/>
  <c r="EC219" i="4"/>
  <c r="EB139" i="4"/>
  <c r="ED207" i="4"/>
  <c r="EC139" i="4"/>
  <c r="EE81" i="4"/>
  <c r="EE207" i="4" s="1"/>
  <c r="ED135" i="4"/>
  <c r="EB153" i="4"/>
  <c r="ED85" i="4"/>
  <c r="EB159" i="4"/>
  <c r="ED77" i="4"/>
  <c r="EC149" i="4"/>
  <c r="EC151" i="4" s="1"/>
  <c r="EC143" i="4" l="1"/>
  <c r="ED221" i="4"/>
  <c r="ED223" i="4"/>
  <c r="ED219" i="4"/>
  <c r="ED137" i="4"/>
  <c r="ED209" i="4"/>
  <c r="ED205" i="4"/>
  <c r="EF81" i="4"/>
  <c r="EE135" i="4"/>
  <c r="EE137" i="4" s="1"/>
  <c r="EC153" i="4"/>
  <c r="EE85" i="4"/>
  <c r="ED159" i="4"/>
  <c r="EC159" i="4"/>
  <c r="EE77" i="4"/>
  <c r="ED149" i="4"/>
  <c r="ED151" i="4" s="1"/>
  <c r="ED141" i="4" l="1"/>
  <c r="ED143" i="4" s="1"/>
  <c r="EE139" i="4"/>
  <c r="EE141" i="4"/>
  <c r="EE221" i="4"/>
  <c r="EE223" i="4"/>
  <c r="EE205" i="4"/>
  <c r="EE209" i="4"/>
  <c r="EE219" i="4"/>
  <c r="ED139" i="4"/>
  <c r="EF207" i="4"/>
  <c r="EG81" i="4"/>
  <c r="EG207" i="4" s="1"/>
  <c r="EF135" i="4"/>
  <c r="ED153" i="4"/>
  <c r="EF85" i="4"/>
  <c r="EF77" i="4"/>
  <c r="EE149" i="4"/>
  <c r="EE151" i="4" s="1"/>
  <c r="EE143" i="4" l="1"/>
  <c r="EF223" i="4"/>
  <c r="EF221" i="4"/>
  <c r="EF219" i="4"/>
  <c r="EF137" i="4"/>
  <c r="EF205" i="4"/>
  <c r="EF209" i="4"/>
  <c r="EF139" i="4"/>
  <c r="EH81" i="4"/>
  <c r="EH207" i="4" s="1"/>
  <c r="EG135" i="4"/>
  <c r="EG137" i="4" s="1"/>
  <c r="EE153" i="4"/>
  <c r="EG85" i="4"/>
  <c r="EE159" i="4"/>
  <c r="EG77" i="4"/>
  <c r="EF149" i="4"/>
  <c r="EF151" i="4" s="1"/>
  <c r="EF141" i="4" l="1"/>
  <c r="EF143" i="4" s="1"/>
  <c r="EG139" i="4"/>
  <c r="EG141" i="4"/>
  <c r="EG223" i="4"/>
  <c r="EG221" i="4"/>
  <c r="EG205" i="4"/>
  <c r="EG209" i="4"/>
  <c r="EG219" i="4"/>
  <c r="EI81" i="4"/>
  <c r="EH135" i="4"/>
  <c r="EH137" i="4" s="1"/>
  <c r="EH141" i="4" s="1"/>
  <c r="EF153" i="4"/>
  <c r="EF159" i="4"/>
  <c r="EH85" i="4"/>
  <c r="EH209" i="4" s="1"/>
  <c r="EH77" i="4"/>
  <c r="EG149" i="4"/>
  <c r="EG151" i="4" s="1"/>
  <c r="Y52" i="9"/>
  <c r="P45" i="5" l="1"/>
  <c r="Q45" i="5"/>
  <c r="R45" i="5"/>
  <c r="S45" i="5"/>
  <c r="T45" i="5"/>
  <c r="U45" i="5"/>
  <c r="V45" i="5"/>
  <c r="W45" i="5"/>
  <c r="X45" i="5"/>
  <c r="Y45" i="5"/>
  <c r="EH221" i="4"/>
  <c r="EH223" i="4"/>
  <c r="EH205" i="4"/>
  <c r="EH219" i="4"/>
  <c r="EG143" i="4"/>
  <c r="EH139" i="4"/>
  <c r="EH143" i="4"/>
  <c r="EI207" i="4"/>
  <c r="Q81" i="4"/>
  <c r="EI135" i="4"/>
  <c r="EG153" i="4"/>
  <c r="EI85" i="4"/>
  <c r="EG159" i="4"/>
  <c r="EI77" i="4"/>
  <c r="EH149" i="4"/>
  <c r="EH151" i="4" s="1"/>
  <c r="M45" i="5" l="1"/>
  <c r="EI223" i="4"/>
  <c r="Q223" i="4" s="1"/>
  <c r="EI221" i="4"/>
  <c r="P46" i="5"/>
  <c r="Q46" i="5"/>
  <c r="R46" i="5"/>
  <c r="S46" i="5"/>
  <c r="T46" i="5"/>
  <c r="U46" i="5"/>
  <c r="V46" i="5"/>
  <c r="W46" i="5"/>
  <c r="X46" i="5"/>
  <c r="Y46" i="5"/>
  <c r="Q207" i="4"/>
  <c r="P21" i="7"/>
  <c r="Q21" i="7"/>
  <c r="R21" i="7"/>
  <c r="S21" i="7"/>
  <c r="T21" i="7"/>
  <c r="U21" i="7"/>
  <c r="V21" i="7"/>
  <c r="W21" i="7"/>
  <c r="X21" i="7"/>
  <c r="Y21" i="7"/>
  <c r="P44" i="5"/>
  <c r="Q44" i="5"/>
  <c r="R44" i="5"/>
  <c r="S44" i="5"/>
  <c r="T44" i="5"/>
  <c r="U44" i="5"/>
  <c r="V44" i="5"/>
  <c r="W44" i="5"/>
  <c r="X44" i="5"/>
  <c r="Y44" i="5"/>
  <c r="EI219" i="4"/>
  <c r="Q221" i="4"/>
  <c r="EI137" i="4"/>
  <c r="EI139" i="4" s="1"/>
  <c r="Y43" i="9" s="1"/>
  <c r="P70" i="8"/>
  <c r="Q70" i="8"/>
  <c r="R70" i="8"/>
  <c r="S70" i="8"/>
  <c r="T70" i="8"/>
  <c r="U70" i="8"/>
  <c r="V70" i="8"/>
  <c r="W70" i="8"/>
  <c r="X70" i="8"/>
  <c r="Y70" i="8"/>
  <c r="EI205" i="4"/>
  <c r="Q135" i="4"/>
  <c r="EI209" i="4"/>
  <c r="EH153" i="4"/>
  <c r="Q85" i="4"/>
  <c r="EH159" i="4"/>
  <c r="EI149" i="4"/>
  <c r="EI151" i="4" s="1"/>
  <c r="Q77" i="4"/>
  <c r="U43" i="5" l="1"/>
  <c r="U42" i="5" s="1"/>
  <c r="U63" i="5" s="1"/>
  <c r="U67" i="5" s="1"/>
  <c r="T43" i="5"/>
  <c r="T42" i="5" s="1"/>
  <c r="T63" i="5" s="1"/>
  <c r="T67" i="5" s="1"/>
  <c r="R43" i="5"/>
  <c r="R42" i="5" s="1"/>
  <c r="R63" i="5" s="1"/>
  <c r="R67" i="5" s="1"/>
  <c r="S43" i="5"/>
  <c r="S42" i="5" s="1"/>
  <c r="S63" i="5" s="1"/>
  <c r="S67" i="5" s="1"/>
  <c r="Q43" i="5"/>
  <c r="Q42" i="5" s="1"/>
  <c r="Q63" i="5" s="1"/>
  <c r="Q67" i="5" s="1"/>
  <c r="EI141" i="4"/>
  <c r="Y77" i="5" s="1"/>
  <c r="V43" i="5"/>
  <c r="V42" i="5" s="1"/>
  <c r="V63" i="5" s="1"/>
  <c r="V67" i="5" s="1"/>
  <c r="Y34" i="9"/>
  <c r="Y72" i="9"/>
  <c r="P43" i="5"/>
  <c r="P42" i="5" s="1"/>
  <c r="P63" i="5" s="1"/>
  <c r="P67" i="5" s="1"/>
  <c r="M46" i="5"/>
  <c r="M21" i="7"/>
  <c r="X43" i="5"/>
  <c r="X42" i="5" s="1"/>
  <c r="X63" i="5" s="1"/>
  <c r="X67" i="5" s="1"/>
  <c r="W43" i="5"/>
  <c r="W42" i="5" s="1"/>
  <c r="W63" i="5" s="1"/>
  <c r="W67" i="5" s="1"/>
  <c r="Q209" i="4"/>
  <c r="P22" i="7"/>
  <c r="Q22" i="7"/>
  <c r="R22" i="7"/>
  <c r="S22" i="7"/>
  <c r="T22" i="7"/>
  <c r="U22" i="7"/>
  <c r="V22" i="7"/>
  <c r="W22" i="7"/>
  <c r="X22" i="7"/>
  <c r="Y22" i="7"/>
  <c r="P28" i="8"/>
  <c r="Q28" i="8"/>
  <c r="Q25" i="8" s="1"/>
  <c r="R28" i="8"/>
  <c r="R25" i="8" s="1"/>
  <c r="S28" i="8"/>
  <c r="S25" i="8" s="1"/>
  <c r="T28" i="8"/>
  <c r="T25" i="8" s="1"/>
  <c r="U28" i="8"/>
  <c r="U25" i="8" s="1"/>
  <c r="V28" i="8"/>
  <c r="V25" i="8" s="1"/>
  <c r="W28" i="8"/>
  <c r="W25" i="8" s="1"/>
  <c r="X28" i="8"/>
  <c r="X25" i="8" s="1"/>
  <c r="Y28" i="8"/>
  <c r="Y25" i="8" s="1"/>
  <c r="P20" i="7"/>
  <c r="Q20" i="7"/>
  <c r="R20" i="7"/>
  <c r="S20" i="7"/>
  <c r="T20" i="7"/>
  <c r="U20" i="7"/>
  <c r="V20" i="7"/>
  <c r="W20" i="7"/>
  <c r="X20" i="7"/>
  <c r="Y20" i="7"/>
  <c r="P50" i="8"/>
  <c r="Q50" i="8"/>
  <c r="R50" i="8"/>
  <c r="S50" i="8"/>
  <c r="T50" i="8"/>
  <c r="U50" i="8"/>
  <c r="V50" i="8"/>
  <c r="W50" i="8"/>
  <c r="X50" i="8"/>
  <c r="Y50" i="8"/>
  <c r="Y69" i="8"/>
  <c r="S69" i="8"/>
  <c r="T69" i="8"/>
  <c r="X69" i="8"/>
  <c r="R69" i="8"/>
  <c r="W69" i="8"/>
  <c r="Q69" i="8"/>
  <c r="P69" i="8"/>
  <c r="V69" i="8"/>
  <c r="U69" i="8"/>
  <c r="Q137" i="4"/>
  <c r="P67" i="8"/>
  <c r="P12" i="10" s="1"/>
  <c r="Q67" i="8"/>
  <c r="Q12" i="10" s="1"/>
  <c r="Q16" i="10" s="1"/>
  <c r="R67" i="8"/>
  <c r="R12" i="10" s="1"/>
  <c r="R16" i="10" s="1"/>
  <c r="S67" i="8"/>
  <c r="S12" i="10" s="1"/>
  <c r="S16" i="10" s="1"/>
  <c r="T67" i="8"/>
  <c r="T12" i="10" s="1"/>
  <c r="T16" i="10" s="1"/>
  <c r="U67" i="8"/>
  <c r="U12" i="10" s="1"/>
  <c r="U16" i="10" s="1"/>
  <c r="V67" i="8"/>
  <c r="V12" i="10" s="1"/>
  <c r="V16" i="10" s="1"/>
  <c r="W67" i="8"/>
  <c r="W12" i="10" s="1"/>
  <c r="W16" i="10" s="1"/>
  <c r="X67" i="8"/>
  <c r="X12" i="10" s="1"/>
  <c r="X16" i="10" s="1"/>
  <c r="Y67" i="8"/>
  <c r="Y12" i="10" s="1"/>
  <c r="Y16" i="10" s="1"/>
  <c r="EI159" i="4"/>
  <c r="Q155" i="4"/>
  <c r="M44" i="5"/>
  <c r="Y43" i="5"/>
  <c r="P77" i="5"/>
  <c r="Q77" i="5"/>
  <c r="R77" i="5"/>
  <c r="S77" i="5"/>
  <c r="T77" i="5"/>
  <c r="U77" i="5"/>
  <c r="V77" i="5"/>
  <c r="W77" i="5"/>
  <c r="X77" i="5"/>
  <c r="Y19" i="7" l="1"/>
  <c r="Y18" i="7" s="1"/>
  <c r="Y40" i="7" s="1"/>
  <c r="Y44" i="7" s="1"/>
  <c r="M12" i="10"/>
  <c r="P16" i="10"/>
  <c r="M16" i="10" s="1"/>
  <c r="EI143" i="4"/>
  <c r="Q141" i="4"/>
  <c r="T19" i="7"/>
  <c r="T18" i="7" s="1"/>
  <c r="T40" i="7" s="1"/>
  <c r="T44" i="7" s="1"/>
  <c r="R19" i="7"/>
  <c r="R18" i="7" s="1"/>
  <c r="R40" i="7" s="1"/>
  <c r="R44" i="7" s="1"/>
  <c r="Q19" i="7"/>
  <c r="Q18" i="7" s="1"/>
  <c r="Q40" i="7" s="1"/>
  <c r="Q44" i="7" s="1"/>
  <c r="S19" i="7"/>
  <c r="S18" i="7" s="1"/>
  <c r="S40" i="7" s="1"/>
  <c r="S44" i="7" s="1"/>
  <c r="V19" i="7"/>
  <c r="V18" i="7" s="1"/>
  <c r="V40" i="7" s="1"/>
  <c r="V44" i="7" s="1"/>
  <c r="U19" i="7"/>
  <c r="U18" i="7" s="1"/>
  <c r="U40" i="7" s="1"/>
  <c r="U44" i="7" s="1"/>
  <c r="M20" i="7"/>
  <c r="X19" i="7"/>
  <c r="X18" i="7" s="1"/>
  <c r="X40" i="7" s="1"/>
  <c r="X44" i="7" s="1"/>
  <c r="W19" i="7"/>
  <c r="W18" i="7" s="1"/>
  <c r="W40" i="7" s="1"/>
  <c r="W44" i="7" s="1"/>
  <c r="P19" i="7"/>
  <c r="P18" i="7" s="1"/>
  <c r="M28" i="8"/>
  <c r="P25" i="8"/>
  <c r="M25" i="8" s="1"/>
  <c r="EI153" i="4"/>
  <c r="Y34" i="8" s="1"/>
  <c r="Y56" i="9"/>
  <c r="Q149" i="4"/>
  <c r="Y41" i="9"/>
  <c r="P66" i="8"/>
  <c r="P64" i="8" s="1"/>
  <c r="U66" i="8"/>
  <c r="T66" i="8"/>
  <c r="Y66" i="8"/>
  <c r="S66" i="8"/>
  <c r="X66" i="8"/>
  <c r="R66" i="8"/>
  <c r="V66" i="8"/>
  <c r="W66" i="8"/>
  <c r="Q66" i="8"/>
  <c r="P36" i="8"/>
  <c r="Q36" i="8"/>
  <c r="R36" i="8"/>
  <c r="S36" i="8"/>
  <c r="T36" i="8"/>
  <c r="U36" i="8"/>
  <c r="V36" i="8"/>
  <c r="W36" i="8"/>
  <c r="X36" i="8"/>
  <c r="Y36" i="8"/>
  <c r="P34" i="8"/>
  <c r="Q34" i="8"/>
  <c r="R34" i="8"/>
  <c r="S34" i="8"/>
  <c r="T34" i="8"/>
  <c r="U34" i="8"/>
  <c r="V34" i="8"/>
  <c r="W34" i="8"/>
  <c r="X34" i="8"/>
  <c r="M32" i="8"/>
  <c r="P54" i="7"/>
  <c r="Y54" i="7"/>
  <c r="X54" i="7"/>
  <c r="U54" i="7"/>
  <c r="R54" i="7"/>
  <c r="V54" i="7"/>
  <c r="Q54" i="7"/>
  <c r="S54" i="7"/>
  <c r="W54" i="7"/>
  <c r="M22" i="7"/>
  <c r="T54" i="7"/>
  <c r="Q205" i="4"/>
  <c r="Q159" i="4"/>
  <c r="Q163" i="4"/>
  <c r="Y42" i="5"/>
  <c r="M43" i="5"/>
  <c r="M77" i="5"/>
  <c r="Q153" i="4" l="1"/>
  <c r="M19" i="7"/>
  <c r="P31" i="8"/>
  <c r="M34" i="8"/>
  <c r="M36" i="8"/>
  <c r="P40" i="7"/>
  <c r="M18" i="7"/>
  <c r="M54" i="7"/>
  <c r="Y63" i="5"/>
  <c r="M42" i="5"/>
  <c r="P23" i="8" l="1"/>
  <c r="P44" i="7"/>
  <c r="M40" i="7"/>
  <c r="Y67" i="5"/>
  <c r="M63" i="5"/>
  <c r="M44" i="7" l="1"/>
  <c r="M67" i="5"/>
  <c r="M67" i="8" l="1"/>
  <c r="M66" i="8" l="1"/>
  <c r="M70" i="8" l="1"/>
  <c r="Y64" i="8"/>
  <c r="X64" i="8"/>
  <c r="V64" i="8"/>
  <c r="U64" i="8"/>
  <c r="W64" i="8"/>
  <c r="T64" i="8"/>
  <c r="S64" i="8"/>
  <c r="R64" i="8"/>
  <c r="Q64" i="8"/>
  <c r="M69" i="8" l="1"/>
  <c r="M64" i="8"/>
  <c r="Q219" i="4" l="1"/>
  <c r="M50" i="8" l="1"/>
  <c r="EF217" i="4"/>
  <c r="DZ217" i="4"/>
  <c r="CH217" i="4"/>
  <c r="AD217" i="4"/>
  <c r="W217" i="4"/>
  <c r="DD217" i="4"/>
  <c r="BL217" i="4"/>
  <c r="AO217" i="4"/>
  <c r="ED217" i="4"/>
  <c r="BG217" i="4"/>
  <c r="CO217" i="4"/>
  <c r="AJ217" i="4"/>
  <c r="DQ217" i="4"/>
  <c r="CY217" i="4"/>
  <c r="BF217" i="4"/>
  <c r="DM217" i="4"/>
  <c r="EG217" i="4"/>
  <c r="DC217" i="4"/>
  <c r="BV217" i="4"/>
  <c r="AB217" i="4"/>
  <c r="BW217" i="4"/>
  <c r="CR217" i="4"/>
  <c r="DB217" i="4"/>
  <c r="AT217" i="4"/>
  <c r="EA217" i="4"/>
  <c r="DV217" i="4"/>
  <c r="BO217" i="4"/>
  <c r="AW217" i="4"/>
  <c r="AS217" i="4"/>
  <c r="AY217" i="4"/>
  <c r="BM217" i="4"/>
  <c r="AN217" i="4"/>
  <c r="AH217" i="4"/>
  <c r="DP217" i="4"/>
  <c r="CI217" i="4"/>
  <c r="AP217" i="4"/>
  <c r="BN217" i="4"/>
  <c r="DE217" i="4"/>
  <c r="Y217" i="4"/>
  <c r="CK217" i="4"/>
  <c r="DU217" i="4"/>
  <c r="CC217" i="4"/>
  <c r="BJ217" i="4"/>
  <c r="AI217" i="4"/>
  <c r="AA217" i="4"/>
  <c r="CF217" i="4"/>
  <c r="CA217" i="4"/>
  <c r="X217" i="4"/>
  <c r="BA217" i="4"/>
  <c r="V217" i="4"/>
  <c r="BC217" i="4"/>
  <c r="U217" i="4"/>
  <c r="DR217" i="4"/>
  <c r="AK217" i="4"/>
  <c r="DH217" i="4"/>
  <c r="EB217" i="4"/>
  <c r="EH217" i="4"/>
  <c r="BY217" i="4"/>
  <c r="CQ217" i="4"/>
  <c r="DY217" i="4"/>
  <c r="CS217" i="4"/>
  <c r="CM217" i="4"/>
  <c r="AU217" i="4"/>
  <c r="Z217" i="4"/>
  <c r="DI217" i="4"/>
  <c r="BQ217" i="4"/>
  <c r="CP217" i="4"/>
  <c r="CV217" i="4"/>
  <c r="CU217" i="4"/>
  <c r="AZ217" i="4"/>
  <c r="CJ217" i="4"/>
  <c r="AQ217" i="4"/>
  <c r="CG217" i="4"/>
  <c r="BH217" i="4"/>
  <c r="AG217" i="4"/>
  <c r="DT217" i="4"/>
  <c r="DO217" i="4"/>
  <c r="BK217" i="4"/>
  <c r="CD217" i="4"/>
  <c r="DN217" i="4"/>
  <c r="DK217" i="4"/>
  <c r="CT217" i="4"/>
  <c r="CX217" i="4"/>
  <c r="AE217" i="4"/>
  <c r="BI217" i="4"/>
  <c r="CW217" i="4"/>
  <c r="BE217" i="4"/>
  <c r="AV217" i="4"/>
  <c r="DS217" i="4"/>
  <c r="AM217" i="4"/>
  <c r="BU217" i="4"/>
  <c r="BB217" i="4"/>
  <c r="EI217" i="4"/>
  <c r="BR217" i="4"/>
  <c r="EE217" i="4"/>
  <c r="AL217" i="4"/>
  <c r="DG217" i="4"/>
  <c r="BZ217" i="4"/>
  <c r="EC217" i="4"/>
  <c r="DJ217" i="4"/>
  <c r="BS217" i="4"/>
  <c r="BX217" i="4"/>
  <c r="CL217" i="4"/>
  <c r="DA217" i="4"/>
  <c r="DW217" i="4"/>
  <c r="CE217" i="4"/>
  <c r="BT217" i="4"/>
  <c r="AC217" i="4"/>
  <c r="AX217" i="4"/>
  <c r="DF217" i="4"/>
  <c r="AM215" i="4"/>
  <c r="AV215" i="4"/>
  <c r="AV181" i="4" s="1"/>
  <c r="AV183" i="4" s="1"/>
  <c r="AI215" i="4"/>
  <c r="T217" i="4"/>
  <c r="BB215" i="4"/>
  <c r="CQ215" i="4"/>
  <c r="DE215" i="4"/>
  <c r="DE181" i="4" s="1"/>
  <c r="DE183" i="4" s="1"/>
  <c r="AW215" i="4"/>
  <c r="AQ215" i="4"/>
  <c r="AQ181" i="4" s="1"/>
  <c r="AQ183" i="4" s="1"/>
  <c r="AL215" i="4"/>
  <c r="AL181" i="4" s="1"/>
  <c r="AL183" i="4" s="1"/>
  <c r="DZ215" i="4"/>
  <c r="DZ181" i="4" s="1"/>
  <c r="DZ183" i="4" s="1"/>
  <c r="BJ215" i="4"/>
  <c r="CC215" i="4"/>
  <c r="DR215" i="4"/>
  <c r="BG215" i="4"/>
  <c r="BL215" i="4"/>
  <c r="AP215" i="4"/>
  <c r="AP181" i="4" s="1"/>
  <c r="AP183" i="4" s="1"/>
  <c r="EB215" i="4"/>
  <c r="EB181" i="4" s="1"/>
  <c r="EB183" i="4" s="1"/>
  <c r="DT215" i="4"/>
  <c r="DB215" i="4"/>
  <c r="CE215" i="4"/>
  <c r="DH215" i="4"/>
  <c r="CA215" i="4"/>
  <c r="EF215" i="4"/>
  <c r="EF181" i="4" s="1"/>
  <c r="EF183" i="4" s="1"/>
  <c r="BF215" i="4"/>
  <c r="BF181" i="4" s="1"/>
  <c r="BF183" i="4" s="1"/>
  <c r="CT215" i="4"/>
  <c r="DQ215" i="4"/>
  <c r="BQ215" i="4"/>
  <c r="BQ181" i="4" s="1"/>
  <c r="BQ183" i="4" s="1"/>
  <c r="BV215" i="4"/>
  <c r="BV181" i="4" s="1"/>
  <c r="BV183" i="4" s="1"/>
  <c r="AU215" i="4"/>
  <c r="CG215" i="4"/>
  <c r="CU215" i="4"/>
  <c r="AT215" i="4"/>
  <c r="AT181" i="4" s="1"/>
  <c r="AT183" i="4" s="1"/>
  <c r="CH215" i="4"/>
  <c r="EG215" i="4"/>
  <c r="DM215" i="4"/>
  <c r="AR215" i="4"/>
  <c r="V215" i="4"/>
  <c r="V181" i="4" s="1"/>
  <c r="V183" i="4" s="1"/>
  <c r="W215" i="4"/>
  <c r="W181" i="4" s="1"/>
  <c r="W183" i="4" s="1"/>
  <c r="AD215" i="4"/>
  <c r="DI215" i="4"/>
  <c r="DI181" i="4" s="1"/>
  <c r="DI183" i="4" s="1"/>
  <c r="CL215" i="4"/>
  <c r="BS215" i="4"/>
  <c r="DP215" i="4"/>
  <c r="DU215" i="4"/>
  <c r="DU181" i="4" s="1"/>
  <c r="DU183" i="4" s="1"/>
  <c r="DW215" i="4"/>
  <c r="CZ215" i="4"/>
  <c r="AC215" i="4"/>
  <c r="Y215" i="4"/>
  <c r="CW215" i="4"/>
  <c r="CW181" i="4" s="1"/>
  <c r="CW183" i="4" s="1"/>
  <c r="CY215" i="4"/>
  <c r="CY181" i="4" s="1"/>
  <c r="CY183" i="4" s="1"/>
  <c r="BK215" i="4"/>
  <c r="BK181" i="4" s="1"/>
  <c r="BK183" i="4" s="1"/>
  <c r="BH215" i="4"/>
  <c r="BH181" i="4" s="1"/>
  <c r="BH183" i="4" s="1"/>
  <c r="AH215" i="4"/>
  <c r="AX215" i="4"/>
  <c r="AZ215" i="4"/>
  <c r="BW215" i="4"/>
  <c r="AE215" i="4"/>
  <c r="AE181" i="4" s="1"/>
  <c r="AE183" i="4" s="1"/>
  <c r="AA215" i="4"/>
  <c r="BZ215" i="4"/>
  <c r="BZ181" i="4" s="1"/>
  <c r="BZ183" i="4" s="1"/>
  <c r="EI215" i="4"/>
  <c r="ED215" i="4"/>
  <c r="DY215" i="4"/>
  <c r="DY181" i="4" s="1"/>
  <c r="DY183" i="4" s="1"/>
  <c r="CX215" i="4"/>
  <c r="BC215" i="4"/>
  <c r="BC181" i="4" s="1"/>
  <c r="BC183" i="4" s="1"/>
  <c r="BE215" i="4"/>
  <c r="BR215" i="4"/>
  <c r="BN215" i="4"/>
  <c r="CP215" i="4"/>
  <c r="AK215" i="4"/>
  <c r="DD215" i="4"/>
  <c r="DG215" i="4"/>
  <c r="DS215" i="4"/>
  <c r="EA215" i="4"/>
  <c r="EA181" i="4" s="1"/>
  <c r="EA183" i="4" s="1"/>
  <c r="BI215" i="4"/>
  <c r="CI215" i="4"/>
  <c r="Z215" i="4"/>
  <c r="CS215" i="4"/>
  <c r="DC215" i="4"/>
  <c r="DC181" i="4" s="1"/>
  <c r="DC183" i="4" s="1"/>
  <c r="DV215" i="4"/>
  <c r="DV181" i="4" s="1"/>
  <c r="DV183" i="4" s="1"/>
  <c r="AJ215" i="4"/>
  <c r="AJ181" i="4" s="1"/>
  <c r="AJ183" i="4" s="1"/>
  <c r="CV215" i="4"/>
  <c r="CN215" i="4"/>
  <c r="AG215" i="4"/>
  <c r="CF215" i="4"/>
  <c r="DK215" i="4"/>
  <c r="BO215" i="4"/>
  <c r="BO181" i="4" s="1"/>
  <c r="BO183" i="4" s="1"/>
  <c r="BD215" i="4"/>
  <c r="DJ215" i="4"/>
  <c r="CO215" i="4"/>
  <c r="BX215" i="4"/>
  <c r="DF215" i="4"/>
  <c r="DF181" i="4" s="1"/>
  <c r="DF183" i="4" s="1"/>
  <c r="DN215" i="4"/>
  <c r="EH215" i="4"/>
  <c r="AB215" i="4"/>
  <c r="AO215" i="4"/>
  <c r="DL215" i="4"/>
  <c r="X215" i="4"/>
  <c r="X181" i="4" s="1"/>
  <c r="X183" i="4" s="1"/>
  <c r="CM215" i="4"/>
  <c r="CM181" i="4" s="1"/>
  <c r="CM183" i="4" s="1"/>
  <c r="BU215" i="4"/>
  <c r="DX215" i="4"/>
  <c r="DO215" i="4"/>
  <c r="AY215" i="4"/>
  <c r="AY181" i="4" s="1"/>
  <c r="AY183" i="4" s="1"/>
  <c r="AN215" i="4"/>
  <c r="BA215" i="4"/>
  <c r="AS215" i="4"/>
  <c r="U215" i="4"/>
  <c r="EE215" i="4"/>
  <c r="CK215" i="4"/>
  <c r="BP215" i="4"/>
  <c r="CB215" i="4"/>
  <c r="AF215" i="4"/>
  <c r="BT215" i="4"/>
  <c r="CJ215" i="4"/>
  <c r="DA215" i="4"/>
  <c r="CD215" i="4"/>
  <c r="BM215" i="4"/>
  <c r="CR215" i="4"/>
  <c r="BY215" i="4"/>
  <c r="EC215" i="4"/>
  <c r="T215" i="4"/>
  <c r="BN181" i="4" l="1"/>
  <c r="BN183" i="4" s="1"/>
  <c r="DQ181" i="4"/>
  <c r="DQ183" i="4" s="1"/>
  <c r="AU181" i="4"/>
  <c r="AU183" i="4" s="1"/>
  <c r="BE181" i="4"/>
  <c r="BE183" i="4" s="1"/>
  <c r="BX181" i="4"/>
  <c r="BX183" i="4" s="1"/>
  <c r="CC181" i="4"/>
  <c r="CC183" i="4" s="1"/>
  <c r="DD181" i="4"/>
  <c r="DD183" i="4" s="1"/>
  <c r="AK181" i="4"/>
  <c r="AK183" i="4" s="1"/>
  <c r="BS181" i="4"/>
  <c r="BS183" i="4" s="1"/>
  <c r="DO181" i="4"/>
  <c r="DO183" i="4" s="1"/>
  <c r="BM181" i="4"/>
  <c r="BM183" i="4" s="1"/>
  <c r="BW181" i="4"/>
  <c r="BW183" i="4" s="1"/>
  <c r="CE181" i="4"/>
  <c r="CE183" i="4" s="1"/>
  <c r="AM181" i="4"/>
  <c r="AM183" i="4" s="1"/>
  <c r="DR181" i="4"/>
  <c r="DR183" i="4" s="1"/>
  <c r="DS181" i="4"/>
  <c r="DS183" i="4" s="1"/>
  <c r="EG181" i="4"/>
  <c r="EG183" i="4" s="1"/>
  <c r="AS181" i="4"/>
  <c r="AS183" i="4" s="1"/>
  <c r="AZ181" i="4"/>
  <c r="AZ183" i="4" s="1"/>
  <c r="DP181" i="4"/>
  <c r="DP183" i="4" s="1"/>
  <c r="AW181" i="4"/>
  <c r="AW183" i="4" s="1"/>
  <c r="DT181" i="4"/>
  <c r="DT183" i="4" s="1"/>
  <c r="DJ181" i="4"/>
  <c r="DJ183" i="4" s="1"/>
  <c r="Z181" i="4"/>
  <c r="Z183" i="4" s="1"/>
  <c r="AD181" i="4"/>
  <c r="AD183" i="4" s="1"/>
  <c r="CK181" i="4"/>
  <c r="CK183" i="4" s="1"/>
  <c r="AC181" i="4"/>
  <c r="AC183" i="4" s="1"/>
  <c r="DM181" i="4"/>
  <c r="DM183" i="4" s="1"/>
  <c r="U181" i="4"/>
  <c r="U183" i="4" s="1"/>
  <c r="BR181" i="4"/>
  <c r="BR183" i="4" s="1"/>
  <c r="CU181" i="4"/>
  <c r="CU183" i="4" s="1"/>
  <c r="AH181" i="4"/>
  <c r="AH183" i="4" s="1"/>
  <c r="DK181" i="4"/>
  <c r="DK183" i="4" s="1"/>
  <c r="ED181" i="4"/>
  <c r="ED183" i="4" s="1"/>
  <c r="EI181" i="4"/>
  <c r="EI183" i="4" s="1"/>
  <c r="AA181" i="4"/>
  <c r="AA183" i="4" s="1"/>
  <c r="EH181" i="4"/>
  <c r="EH183" i="4" s="1"/>
  <c r="DW181" i="4"/>
  <c r="DW183" i="4" s="1"/>
  <c r="CI181" i="4"/>
  <c r="CI183" i="4" s="1"/>
  <c r="CS181" i="4"/>
  <c r="CS183" i="4" s="1"/>
  <c r="AX181" i="4"/>
  <c r="AX183" i="4" s="1"/>
  <c r="CG181" i="4"/>
  <c r="CG183" i="4" s="1"/>
  <c r="BA181" i="4"/>
  <c r="BA183" i="4" s="1"/>
  <c r="BI181" i="4"/>
  <c r="BI183" i="4" s="1"/>
  <c r="DG181" i="4"/>
  <c r="DG183" i="4" s="1"/>
  <c r="CF181" i="4"/>
  <c r="CF183" i="4" s="1"/>
  <c r="BT181" i="4"/>
  <c r="BT183" i="4" s="1"/>
  <c r="BU181" i="4"/>
  <c r="BU183" i="4" s="1"/>
  <c r="CL181" i="4"/>
  <c r="CL183" i="4" s="1"/>
  <c r="EC181" i="4"/>
  <c r="EC183" i="4" s="1"/>
  <c r="BL181" i="4"/>
  <c r="BL183" i="4" s="1"/>
  <c r="CQ181" i="4"/>
  <c r="CQ183" i="4" s="1"/>
  <c r="BY181" i="4"/>
  <c r="BY183" i="4" s="1"/>
  <c r="AO181" i="4"/>
  <c r="AO183" i="4" s="1"/>
  <c r="BG181" i="4"/>
  <c r="BG183" i="4" s="1"/>
  <c r="AI181" i="4"/>
  <c r="AI183" i="4" s="1"/>
  <c r="CR181" i="4"/>
  <c r="CR183" i="4" s="1"/>
  <c r="AB181" i="4"/>
  <c r="AB183" i="4" s="1"/>
  <c r="AG181" i="4"/>
  <c r="AG183" i="4" s="1"/>
  <c r="Y181" i="4"/>
  <c r="Y183" i="4" s="1"/>
  <c r="CT181" i="4"/>
  <c r="CT183" i="4" s="1"/>
  <c r="BB181" i="4"/>
  <c r="BB183" i="4" s="1"/>
  <c r="AN181" i="4"/>
  <c r="AN183" i="4" s="1"/>
  <c r="DN181" i="4"/>
  <c r="DN183" i="4" s="1"/>
  <c r="CV181" i="4"/>
  <c r="CV183" i="4" s="1"/>
  <c r="BJ181" i="4"/>
  <c r="BJ183" i="4" s="1"/>
  <c r="DA181" i="4"/>
  <c r="DA183" i="4" s="1"/>
  <c r="CP181" i="4"/>
  <c r="CP183" i="4" s="1"/>
  <c r="CH181" i="4"/>
  <c r="CH183" i="4" s="1"/>
  <c r="CD181" i="4"/>
  <c r="CD183" i="4" s="1"/>
  <c r="DH181" i="4"/>
  <c r="DH183" i="4" s="1"/>
  <c r="CJ181" i="4"/>
  <c r="CJ183" i="4" s="1"/>
  <c r="CA181" i="4"/>
  <c r="CA183" i="4" s="1"/>
  <c r="CX181" i="4"/>
  <c r="CX183" i="4" s="1"/>
  <c r="EE181" i="4"/>
  <c r="EE183" i="4" s="1"/>
  <c r="DB181" i="4"/>
  <c r="DB183" i="4" s="1"/>
  <c r="CO181" i="4"/>
  <c r="CO183" i="4" s="1"/>
  <c r="Q215" i="4"/>
  <c r="T181" i="4"/>
  <c r="T183" i="4" l="1"/>
  <c r="T185" i="4" l="1"/>
  <c r="U185" i="4" l="1"/>
  <c r="V185" i="4" s="1"/>
  <c r="W185" i="4" s="1"/>
  <c r="X185" i="4" s="1"/>
  <c r="Y185" i="4" s="1"/>
  <c r="Z185" i="4" s="1"/>
  <c r="AA185" i="4" s="1"/>
  <c r="AB185" i="4" s="1"/>
  <c r="AC185" i="4" s="1"/>
  <c r="AD185" i="4" s="1"/>
  <c r="AE185" i="4" s="1"/>
  <c r="T189" i="4"/>
  <c r="T197" i="4" l="1"/>
  <c r="T193" i="4"/>
  <c r="T195" i="4" l="1"/>
  <c r="T201" i="4"/>
  <c r="T203" i="4"/>
  <c r="U189" i="4" l="1"/>
  <c r="U197" i="4" s="1"/>
  <c r="U187" i="4"/>
  <c r="U199" i="4" l="1"/>
  <c r="U191" i="4" l="1"/>
  <c r="U203" i="4"/>
  <c r="U193" i="4" l="1"/>
  <c r="U201" i="4" l="1"/>
  <c r="U195" i="4"/>
  <c r="V189" i="4" l="1"/>
  <c r="V197" i="4" s="1"/>
  <c r="V187" i="4"/>
  <c r="V199" i="4" l="1"/>
  <c r="V203" i="4" s="1"/>
  <c r="V191" i="4" l="1"/>
  <c r="V193" i="4" l="1"/>
  <c r="V201" i="4" l="1"/>
  <c r="V195" i="4"/>
  <c r="W187" i="4" l="1"/>
  <c r="W189" i="4"/>
  <c r="W197" i="4" l="1"/>
  <c r="W199" i="4" l="1"/>
  <c r="W191" i="4" l="1"/>
  <c r="W203" i="4"/>
  <c r="W193" i="4" l="1"/>
  <c r="W201" i="4" l="1"/>
  <c r="W195" i="4"/>
  <c r="X189" i="4" l="1"/>
  <c r="X197" i="4" s="1"/>
  <c r="X187" i="4"/>
  <c r="X199" i="4" l="1"/>
  <c r="X203" i="4" s="1"/>
  <c r="X191" i="4" l="1"/>
  <c r="X193" i="4" l="1"/>
  <c r="X201" i="4" l="1"/>
  <c r="X195" i="4"/>
  <c r="Y187" i="4" l="1"/>
  <c r="Y189" i="4"/>
  <c r="Y197" i="4" l="1"/>
  <c r="Y199" i="4" l="1"/>
  <c r="Y203" i="4" s="1"/>
  <c r="Y191" i="4" l="1"/>
  <c r="Y193" i="4" l="1"/>
  <c r="Y201" i="4" l="1"/>
  <c r="Y195" i="4"/>
  <c r="Z187" i="4" l="1"/>
  <c r="Z189" i="4"/>
  <c r="Z197" i="4" l="1"/>
  <c r="Z199" i="4" l="1"/>
  <c r="Z191" i="4" s="1"/>
  <c r="Z193" i="4" s="1"/>
  <c r="Z203" i="4" l="1"/>
  <c r="Z201" i="4"/>
  <c r="Z195" i="4"/>
  <c r="AA187" i="4" l="1"/>
  <c r="AA189" i="4"/>
  <c r="AA197" i="4" l="1"/>
  <c r="AA199" i="4" l="1"/>
  <c r="AA191" i="4" s="1"/>
  <c r="AA193" i="4" s="1"/>
  <c r="AA203" i="4" l="1"/>
  <c r="AA201" i="4"/>
  <c r="AA195" i="4"/>
  <c r="AB187" i="4" l="1"/>
  <c r="AB189" i="4"/>
  <c r="AB197" i="4" l="1"/>
  <c r="AB199" i="4" l="1"/>
  <c r="AB191" i="4" s="1"/>
  <c r="AB193" i="4" s="1"/>
  <c r="AB203" i="4" l="1"/>
  <c r="AB201" i="4"/>
  <c r="AB195" i="4"/>
  <c r="AC189" i="4" l="1"/>
  <c r="AC197" i="4" s="1"/>
  <c r="AC187" i="4"/>
  <c r="AC199" i="4" l="1"/>
  <c r="AC191" i="4" s="1"/>
  <c r="AC193" i="4" s="1"/>
  <c r="AC201" i="4" l="1"/>
  <c r="AC195" i="4"/>
  <c r="AC203" i="4"/>
  <c r="AD187" i="4" l="1"/>
  <c r="AD189" i="4"/>
  <c r="AD197" i="4" l="1"/>
  <c r="AD199" i="4" l="1"/>
  <c r="AD191" i="4" s="1"/>
  <c r="AD193" i="4" s="1"/>
  <c r="AD203" i="4" l="1"/>
  <c r="AD201" i="4"/>
  <c r="AD195" i="4"/>
  <c r="AE187" i="4" l="1"/>
  <c r="AE189" i="4"/>
  <c r="AE197" i="4" l="1"/>
  <c r="AE199" i="4" l="1"/>
  <c r="AE191" i="4" s="1"/>
  <c r="AE193" i="4" s="1"/>
  <c r="AE203" i="4" l="1"/>
  <c r="P50" i="9" s="1"/>
  <c r="AE201" i="4"/>
  <c r="AE195" i="4"/>
  <c r="P48" i="9" l="1"/>
  <c r="AF187" i="4"/>
  <c r="P69" i="5"/>
  <c r="P71" i="5" s="1"/>
  <c r="P73" i="5" s="1"/>
  <c r="P50" i="7" s="1"/>
  <c r="P59" i="8"/>
  <c r="P61" i="8"/>
  <c r="P56" i="8"/>
  <c r="P55" i="8" s="1"/>
  <c r="P16" i="8" s="1"/>
  <c r="P58" i="8" l="1"/>
  <c r="P18" i="8" s="1"/>
  <c r="P22" i="10" s="1"/>
  <c r="P24" i="10" s="1"/>
  <c r="P46" i="7"/>
  <c r="P48" i="7" s="1"/>
  <c r="P52" i="7" s="1"/>
  <c r="P56" i="7" s="1"/>
  <c r="P75" i="5"/>
  <c r="P79" i="5" s="1"/>
  <c r="P18" i="10"/>
  <c r="P70" i="9"/>
  <c r="Q48" i="8"/>
  <c r="P46" i="9"/>
  <c r="P14" i="8" l="1"/>
  <c r="P21" i="8" s="1"/>
  <c r="Q12" i="8" s="1"/>
  <c r="P53" i="8"/>
  <c r="P39" i="9"/>
  <c r="P37" i="9" s="1"/>
  <c r="AF217" i="4"/>
  <c r="Q31" i="8"/>
  <c r="P26" i="9"/>
  <c r="P24" i="9" s="1"/>
  <c r="P13" i="9" s="1"/>
  <c r="P162" i="10"/>
  <c r="P62" i="10"/>
  <c r="P20" i="10"/>
  <c r="P11" i="9" l="1"/>
  <c r="P26" i="10"/>
  <c r="Q23" i="8"/>
  <c r="AF181" i="4"/>
  <c r="AF183" i="4" l="1"/>
  <c r="AF189" i="4" l="1"/>
  <c r="AF185" i="4"/>
  <c r="AG185" i="4" s="1"/>
  <c r="AH185" i="4" s="1"/>
  <c r="AI185" i="4" s="1"/>
  <c r="AJ185" i="4" s="1"/>
  <c r="AK185" i="4" s="1"/>
  <c r="AL185" i="4" s="1"/>
  <c r="AM185" i="4" s="1"/>
  <c r="AN185" i="4" s="1"/>
  <c r="AO185" i="4" s="1"/>
  <c r="AP185" i="4" s="1"/>
  <c r="AQ185" i="4" s="1"/>
  <c r="AF197" i="4" l="1"/>
  <c r="AF199" i="4" l="1"/>
  <c r="AF191" i="4" l="1"/>
  <c r="AF203" i="4"/>
  <c r="AF193" i="4" l="1"/>
  <c r="AF195" i="4" l="1"/>
  <c r="AF201" i="4"/>
  <c r="AG189" i="4" l="1"/>
  <c r="AG187" i="4"/>
  <c r="AG197" i="4" l="1"/>
  <c r="AG199" i="4" l="1"/>
  <c r="AG191" i="4" l="1"/>
  <c r="AG203" i="4"/>
  <c r="AG193" i="4" l="1"/>
  <c r="AG201" i="4" l="1"/>
  <c r="AG195" i="4"/>
  <c r="AH187" i="4" l="1"/>
  <c r="AH189" i="4"/>
  <c r="AH197" i="4" l="1"/>
  <c r="AH199" i="4" l="1"/>
  <c r="AH203" i="4" s="1"/>
  <c r="AH191" i="4" l="1"/>
  <c r="AH193" i="4" l="1"/>
  <c r="AH201" i="4" l="1"/>
  <c r="AH195" i="4"/>
  <c r="AI189" i="4" l="1"/>
  <c r="AI197" i="4" s="1"/>
  <c r="AI187" i="4"/>
  <c r="AI199" i="4" l="1"/>
  <c r="AI203" i="4" s="1"/>
  <c r="AI191" i="4" l="1"/>
  <c r="AI193" i="4" l="1"/>
  <c r="AI201" i="4" l="1"/>
  <c r="AI195" i="4"/>
  <c r="AJ187" i="4" l="1"/>
  <c r="AJ189" i="4"/>
  <c r="AJ197" i="4" l="1"/>
  <c r="AJ199" i="4" l="1"/>
  <c r="AJ203" i="4" s="1"/>
  <c r="AJ191" i="4" l="1"/>
  <c r="AJ193" i="4" l="1"/>
  <c r="AJ201" i="4" l="1"/>
  <c r="AJ195" i="4"/>
  <c r="AK189" i="4" l="1"/>
  <c r="AK197" i="4" s="1"/>
  <c r="AK187" i="4"/>
  <c r="AK199" i="4" l="1"/>
  <c r="AK191" i="4" s="1"/>
  <c r="AK193" i="4" s="1"/>
  <c r="AK201" i="4" l="1"/>
  <c r="AK195" i="4"/>
  <c r="AK203" i="4"/>
  <c r="AL187" i="4" l="1"/>
  <c r="AL189" i="4"/>
  <c r="AL197" i="4" l="1"/>
  <c r="AL199" i="4" l="1"/>
  <c r="AL191" i="4" s="1"/>
  <c r="AL193" i="4" s="1"/>
  <c r="AL203" i="4" l="1"/>
  <c r="AL201" i="4"/>
  <c r="AL195" i="4"/>
  <c r="AM187" i="4" l="1"/>
  <c r="AM189" i="4"/>
  <c r="AM197" i="4" l="1"/>
  <c r="AM199" i="4" l="1"/>
  <c r="AM191" i="4" s="1"/>
  <c r="AM193" i="4" s="1"/>
  <c r="AM203" i="4" l="1"/>
  <c r="AM201" i="4"/>
  <c r="AM195" i="4"/>
  <c r="AN187" i="4" l="1"/>
  <c r="AN189" i="4"/>
  <c r="AN197" i="4" l="1"/>
  <c r="AN199" i="4" l="1"/>
  <c r="AN191" i="4" s="1"/>
  <c r="AN193" i="4" s="1"/>
  <c r="AN203" i="4" l="1"/>
  <c r="AN201" i="4"/>
  <c r="AN195" i="4"/>
  <c r="AO189" i="4" l="1"/>
  <c r="AO187" i="4"/>
  <c r="AO197" i="4" l="1"/>
  <c r="AO199" i="4" l="1"/>
  <c r="AO191" i="4" s="1"/>
  <c r="AO193" i="4" s="1"/>
  <c r="AO201" i="4" l="1"/>
  <c r="AO195" i="4"/>
  <c r="AO203" i="4"/>
  <c r="AP187" i="4" l="1"/>
  <c r="AP189" i="4"/>
  <c r="AP197" i="4" l="1"/>
  <c r="AP199" i="4" l="1"/>
  <c r="AP191" i="4" s="1"/>
  <c r="AP193" i="4" s="1"/>
  <c r="AP201" i="4" l="1"/>
  <c r="AP195" i="4"/>
  <c r="AP203" i="4"/>
  <c r="AQ187" i="4" l="1"/>
  <c r="AQ189" i="4"/>
  <c r="AQ197" i="4" l="1"/>
  <c r="AQ199" i="4" l="1"/>
  <c r="AQ191" i="4" s="1"/>
  <c r="AQ193" i="4" s="1"/>
  <c r="AQ203" i="4" l="1"/>
  <c r="Q50" i="9" s="1"/>
  <c r="AQ201" i="4"/>
  <c r="AQ195" i="4"/>
  <c r="AR187" i="4" l="1"/>
  <c r="Q48" i="9"/>
  <c r="Q69" i="5"/>
  <c r="Q71" i="5" s="1"/>
  <c r="Q73" i="5" s="1"/>
  <c r="Q50" i="7" s="1"/>
  <c r="Q59" i="8"/>
  <c r="Q56" i="8"/>
  <c r="Q55" i="8" s="1"/>
  <c r="Q61" i="8"/>
  <c r="Q58" i="8" l="1"/>
  <c r="Q18" i="8" s="1"/>
  <c r="Q22" i="10" s="1"/>
  <c r="Q24" i="10" s="1"/>
  <c r="Q46" i="7"/>
  <c r="Q48" i="7" s="1"/>
  <c r="Q52" i="7" s="1"/>
  <c r="Q56" i="7" s="1"/>
  <c r="Q75" i="5"/>
  <c r="Q79" i="5" s="1"/>
  <c r="Q16" i="8"/>
  <c r="Q53" i="8"/>
  <c r="Q39" i="9"/>
  <c r="Q70" i="9"/>
  <c r="Q46" i="9" s="1"/>
  <c r="R48" i="8"/>
  <c r="Q37" i="9" l="1"/>
  <c r="Q18" i="10"/>
  <c r="Q14" i="8"/>
  <c r="Q21" i="8" s="1"/>
  <c r="R31" i="8"/>
  <c r="AR217" i="4"/>
  <c r="R23" i="8" l="1"/>
  <c r="Q162" i="10"/>
  <c r="Q62" i="10"/>
  <c r="Q20" i="10"/>
  <c r="AR181" i="4"/>
  <c r="Q26" i="9"/>
  <c r="Q24" i="9" s="1"/>
  <c r="Q13" i="9" s="1"/>
  <c r="Q11" i="9" s="1"/>
  <c r="R12" i="8"/>
  <c r="AR183" i="4" l="1"/>
  <c r="Q26" i="10"/>
  <c r="AR189" i="4" l="1"/>
  <c r="AR185" i="4"/>
  <c r="AS185" i="4" s="1"/>
  <c r="AT185" i="4" s="1"/>
  <c r="AU185" i="4" s="1"/>
  <c r="AV185" i="4" s="1"/>
  <c r="AW185" i="4" s="1"/>
  <c r="AX185" i="4" s="1"/>
  <c r="AY185" i="4" s="1"/>
  <c r="AZ185" i="4" s="1"/>
  <c r="BA185" i="4" s="1"/>
  <c r="BB185" i="4" s="1"/>
  <c r="BC185" i="4" s="1"/>
  <c r="AR197" i="4" l="1"/>
  <c r="AR199" i="4" l="1"/>
  <c r="AR191" i="4" l="1"/>
  <c r="AR203" i="4"/>
  <c r="AR193" i="4" l="1"/>
  <c r="AR195" i="4" l="1"/>
  <c r="AR201" i="4"/>
  <c r="AS189" i="4" l="1"/>
  <c r="AS197" i="4" s="1"/>
  <c r="AS187" i="4"/>
  <c r="AS199" i="4" l="1"/>
  <c r="AS203" i="4" s="1"/>
  <c r="AS191" i="4" l="1"/>
  <c r="AS193" i="4" l="1"/>
  <c r="AS201" i="4" l="1"/>
  <c r="AS195" i="4"/>
  <c r="AT187" i="4" l="1"/>
  <c r="AT189" i="4"/>
  <c r="AT197" i="4" l="1"/>
  <c r="AT199" i="4" l="1"/>
  <c r="AT203" i="4" s="1"/>
  <c r="AT191" i="4" l="1"/>
  <c r="AT193" i="4" l="1"/>
  <c r="AT201" i="4" l="1"/>
  <c r="AT195" i="4"/>
  <c r="AU189" i="4" l="1"/>
  <c r="AU197" i="4" s="1"/>
  <c r="AU187" i="4"/>
  <c r="AU199" i="4" l="1"/>
  <c r="AU203" i="4" s="1"/>
  <c r="AU191" i="4" l="1"/>
  <c r="AU193" i="4" l="1"/>
  <c r="AU201" i="4" l="1"/>
  <c r="AU195" i="4"/>
  <c r="AV189" i="4" l="1"/>
  <c r="AV197" i="4" s="1"/>
  <c r="AV187" i="4"/>
  <c r="AV199" i="4" l="1"/>
  <c r="AV203" i="4" s="1"/>
  <c r="AV191" i="4" l="1"/>
  <c r="AV193" i="4" l="1"/>
  <c r="AV201" i="4" l="1"/>
  <c r="AV195" i="4"/>
  <c r="AW189" i="4" l="1"/>
  <c r="AW197" i="4" s="1"/>
  <c r="AW187" i="4"/>
  <c r="AW199" i="4" l="1"/>
  <c r="AW191" i="4" s="1"/>
  <c r="AW193" i="4" s="1"/>
  <c r="AW201" i="4" l="1"/>
  <c r="AW195" i="4"/>
  <c r="AW203" i="4"/>
  <c r="AX187" i="4" l="1"/>
  <c r="AX189" i="4"/>
  <c r="AX197" i="4" l="1"/>
  <c r="AX199" i="4" l="1"/>
  <c r="AX191" i="4" s="1"/>
  <c r="AX193" i="4" s="1"/>
  <c r="AX201" i="4" l="1"/>
  <c r="AX195" i="4"/>
  <c r="AX203" i="4"/>
  <c r="AY187" i="4" l="1"/>
  <c r="AY189" i="4"/>
  <c r="AY197" i="4" l="1"/>
  <c r="AY199" i="4" l="1"/>
  <c r="AY191" i="4" s="1"/>
  <c r="AY193" i="4" s="1"/>
  <c r="AY203" i="4" l="1"/>
  <c r="AY201" i="4"/>
  <c r="AY195" i="4"/>
  <c r="AZ187" i="4" l="1"/>
  <c r="AZ189" i="4"/>
  <c r="AZ197" i="4" l="1"/>
  <c r="AZ199" i="4" l="1"/>
  <c r="AZ191" i="4" s="1"/>
  <c r="AZ193" i="4" s="1"/>
  <c r="AZ201" i="4" l="1"/>
  <c r="AZ195" i="4"/>
  <c r="AZ203" i="4"/>
  <c r="BA187" i="4" l="1"/>
  <c r="BA189" i="4"/>
  <c r="BA197" i="4" l="1"/>
  <c r="BA199" i="4" l="1"/>
  <c r="BA191" i="4" s="1"/>
  <c r="BA193" i="4" s="1"/>
  <c r="BA201" i="4" l="1"/>
  <c r="BA195" i="4"/>
  <c r="BA203" i="4"/>
  <c r="BB187" i="4" l="1"/>
  <c r="BB189" i="4"/>
  <c r="BB197" i="4" l="1"/>
  <c r="BB199" i="4" l="1"/>
  <c r="BB191" i="4" s="1"/>
  <c r="BB193" i="4" s="1"/>
  <c r="BB203" i="4" l="1"/>
  <c r="BB201" i="4"/>
  <c r="BB195" i="4"/>
  <c r="BC189" i="4" l="1"/>
  <c r="BC197" i="4" s="1"/>
  <c r="BC187" i="4"/>
  <c r="BC199" i="4" l="1"/>
  <c r="BC191" i="4" s="1"/>
  <c r="BC193" i="4" s="1"/>
  <c r="BC201" i="4" l="1"/>
  <c r="BC195" i="4"/>
  <c r="BC203" i="4"/>
  <c r="R50" i="9" s="1"/>
  <c r="BD187" i="4" l="1"/>
  <c r="R48" i="9"/>
  <c r="R69" i="5"/>
  <c r="R71" i="5" s="1"/>
  <c r="R73" i="5" s="1"/>
  <c r="R50" i="7" s="1"/>
  <c r="R59" i="8"/>
  <c r="R56" i="8"/>
  <c r="R55" i="8" s="1"/>
  <c r="R16" i="8" s="1"/>
  <c r="R61" i="8"/>
  <c r="R75" i="5" l="1"/>
  <c r="R79" i="5" s="1"/>
  <c r="R46" i="7"/>
  <c r="R48" i="7" s="1"/>
  <c r="R52" i="7" s="1"/>
  <c r="R56" i="7" s="1"/>
  <c r="R18" i="10"/>
  <c r="R58" i="8"/>
  <c r="R70" i="9"/>
  <c r="S48" i="8"/>
  <c r="R46" i="9"/>
  <c r="R39" i="9" l="1"/>
  <c r="R37" i="9" s="1"/>
  <c r="R18" i="8"/>
  <c r="R53" i="8"/>
  <c r="R20" i="10"/>
  <c r="S31" i="8"/>
  <c r="BD217" i="4"/>
  <c r="BD181" i="4" l="1"/>
  <c r="S23" i="8"/>
  <c r="R22" i="10"/>
  <c r="R14" i="8"/>
  <c r="R21" i="8" s="1"/>
  <c r="R24" i="10" l="1"/>
  <c r="R62" i="10"/>
  <c r="R162" i="10"/>
  <c r="R26" i="9"/>
  <c r="R24" i="9" s="1"/>
  <c r="R13" i="9" s="1"/>
  <c r="R11" i="9" s="1"/>
  <c r="S12" i="8"/>
  <c r="BD183" i="4"/>
  <c r="BD189" i="4" l="1"/>
  <c r="BD185" i="4"/>
  <c r="BE185" i="4" s="1"/>
  <c r="BF185" i="4" s="1"/>
  <c r="BG185" i="4" s="1"/>
  <c r="BH185" i="4" s="1"/>
  <c r="BI185" i="4" s="1"/>
  <c r="BJ185" i="4" s="1"/>
  <c r="BK185" i="4" s="1"/>
  <c r="BL185" i="4" s="1"/>
  <c r="BM185" i="4" s="1"/>
  <c r="BN185" i="4" s="1"/>
  <c r="BO185" i="4" s="1"/>
  <c r="R26" i="10"/>
  <c r="BD197" i="4" l="1"/>
  <c r="BD199" i="4" l="1"/>
  <c r="BD191" i="4" l="1"/>
  <c r="BD203" i="4"/>
  <c r="BD193" i="4" l="1"/>
  <c r="BD195" i="4" l="1"/>
  <c r="BD201" i="4"/>
  <c r="BE189" i="4" l="1"/>
  <c r="BE197" i="4" s="1"/>
  <c r="BE187" i="4"/>
  <c r="BE199" i="4" l="1"/>
  <c r="BE191" i="4" l="1"/>
  <c r="BE203" i="4"/>
  <c r="BE193" i="4" l="1"/>
  <c r="BE201" i="4" l="1"/>
  <c r="BE195" i="4"/>
  <c r="BF189" i="4" l="1"/>
  <c r="BF197" i="4" s="1"/>
  <c r="BF187" i="4"/>
  <c r="BF199" i="4" l="1"/>
  <c r="BF203" i="4" s="1"/>
  <c r="BF191" i="4" l="1"/>
  <c r="BF193" i="4" l="1"/>
  <c r="BF201" i="4" l="1"/>
  <c r="BF195" i="4"/>
  <c r="BG187" i="4" l="1"/>
  <c r="BG189" i="4"/>
  <c r="BG197" i="4" l="1"/>
  <c r="BG199" i="4" l="1"/>
  <c r="BG191" i="4" l="1"/>
  <c r="BG203" i="4"/>
  <c r="BG193" i="4" l="1"/>
  <c r="BG201" i="4" l="1"/>
  <c r="BG195" i="4"/>
  <c r="BH187" i="4" l="1"/>
  <c r="BH189" i="4"/>
  <c r="BH197" i="4" l="1"/>
  <c r="BH199" i="4" l="1"/>
  <c r="BH203" i="4" s="1"/>
  <c r="BH191" i="4" l="1"/>
  <c r="BH193" i="4" l="1"/>
  <c r="BH201" i="4" l="1"/>
  <c r="BH195" i="4"/>
  <c r="BI187" i="4" l="1"/>
  <c r="BI189" i="4"/>
  <c r="BI197" i="4" l="1"/>
  <c r="BI199" i="4" l="1"/>
  <c r="BI191" i="4" s="1"/>
  <c r="BI193" i="4" s="1"/>
  <c r="BI201" i="4" l="1"/>
  <c r="BI195" i="4"/>
  <c r="BI203" i="4"/>
  <c r="BJ187" i="4" l="1"/>
  <c r="BJ189" i="4"/>
  <c r="BJ197" i="4" l="1"/>
  <c r="BJ199" i="4" l="1"/>
  <c r="BJ191" i="4" s="1"/>
  <c r="BJ193" i="4" s="1"/>
  <c r="BJ203" i="4" l="1"/>
  <c r="BJ201" i="4"/>
  <c r="BJ195" i="4"/>
  <c r="BK187" i="4" l="1"/>
  <c r="BK189" i="4"/>
  <c r="BK197" i="4" l="1"/>
  <c r="BK199" i="4" l="1"/>
  <c r="BK191" i="4" s="1"/>
  <c r="BK193" i="4" s="1"/>
  <c r="BK201" i="4" l="1"/>
  <c r="BK195" i="4"/>
  <c r="BK203" i="4"/>
  <c r="BL187" i="4" l="1"/>
  <c r="BL189" i="4"/>
  <c r="BL197" i="4" l="1"/>
  <c r="BL199" i="4" l="1"/>
  <c r="BL191" i="4" s="1"/>
  <c r="BL193" i="4" s="1"/>
  <c r="BL203" i="4" l="1"/>
  <c r="BL201" i="4"/>
  <c r="BL195" i="4"/>
  <c r="BM189" i="4" l="1"/>
  <c r="BM197" i="4" s="1"/>
  <c r="BM187" i="4"/>
  <c r="BM199" i="4" l="1"/>
  <c r="BM191" i="4" s="1"/>
  <c r="BM193" i="4" s="1"/>
  <c r="BM201" i="4" l="1"/>
  <c r="BM195" i="4"/>
  <c r="BM203" i="4"/>
  <c r="BN187" i="4" l="1"/>
  <c r="BN189" i="4"/>
  <c r="BN197" i="4" s="1"/>
  <c r="BN199" i="4" l="1"/>
  <c r="BN191" i="4" s="1"/>
  <c r="BN193" i="4" s="1"/>
  <c r="BN201" i="4" l="1"/>
  <c r="BN195" i="4"/>
  <c r="BN203" i="4"/>
  <c r="BO187" i="4" l="1"/>
  <c r="BO189" i="4"/>
  <c r="BO197" i="4" l="1"/>
  <c r="BO199" i="4" l="1"/>
  <c r="BO191" i="4" s="1"/>
  <c r="BO193" i="4" s="1"/>
  <c r="BO201" i="4" l="1"/>
  <c r="BO195" i="4"/>
  <c r="BO203" i="4"/>
  <c r="S50" i="9" s="1"/>
  <c r="BP187" i="4" l="1"/>
  <c r="S48" i="9"/>
  <c r="S69" i="5"/>
  <c r="S71" i="5" s="1"/>
  <c r="S73" i="5" s="1"/>
  <c r="S50" i="7" s="1"/>
  <c r="S59" i="8"/>
  <c r="S61" i="8"/>
  <c r="S56" i="8"/>
  <c r="S55" i="8" s="1"/>
  <c r="S58" i="8" l="1"/>
  <c r="S18" i="8" s="1"/>
  <c r="S22" i="10" s="1"/>
  <c r="S24" i="10" s="1"/>
  <c r="S16" i="8"/>
  <c r="S75" i="5"/>
  <c r="S79" i="5" s="1"/>
  <c r="S46" i="7"/>
  <c r="S48" i="7" s="1"/>
  <c r="S52" i="7" s="1"/>
  <c r="S70" i="9"/>
  <c r="S46" i="9" s="1"/>
  <c r="T48" i="8"/>
  <c r="S53" i="8" l="1"/>
  <c r="S18" i="10"/>
  <c r="S14" i="8"/>
  <c r="S21" i="8" s="1"/>
  <c r="S39" i="9"/>
  <c r="S37" i="9" s="1"/>
  <c r="S56" i="7"/>
  <c r="T31" i="8"/>
  <c r="BP217" i="4"/>
  <c r="T12" i="8" l="1"/>
  <c r="S26" i="9"/>
  <c r="S24" i="9" s="1"/>
  <c r="S13" i="9" s="1"/>
  <c r="S11" i="9" s="1"/>
  <c r="S162" i="10"/>
  <c r="S62" i="10"/>
  <c r="S20" i="10"/>
  <c r="S26" i="10" s="1"/>
  <c r="BP181" i="4"/>
  <c r="T23" i="8"/>
  <c r="BP183" i="4" l="1"/>
  <c r="BP189" i="4" l="1"/>
  <c r="BP185" i="4"/>
  <c r="BQ185" i="4" s="1"/>
  <c r="BR185" i="4" s="1"/>
  <c r="BS185" i="4" s="1"/>
  <c r="BT185" i="4" s="1"/>
  <c r="BU185" i="4" s="1"/>
  <c r="BV185" i="4" s="1"/>
  <c r="BW185" i="4" s="1"/>
  <c r="BX185" i="4" s="1"/>
  <c r="BY185" i="4" s="1"/>
  <c r="BZ185" i="4" s="1"/>
  <c r="CA185" i="4" s="1"/>
  <c r="BP197" i="4" l="1"/>
  <c r="BP199" i="4" l="1"/>
  <c r="BP191" i="4" l="1"/>
  <c r="BP203" i="4"/>
  <c r="BP193" i="4" l="1"/>
  <c r="BP195" i="4" l="1"/>
  <c r="BP201" i="4"/>
  <c r="BQ189" i="4" l="1"/>
  <c r="BQ197" i="4" s="1"/>
  <c r="BQ187" i="4"/>
  <c r="BQ199" i="4" l="1"/>
  <c r="BQ203" i="4" s="1"/>
  <c r="BQ191" i="4" l="1"/>
  <c r="BQ193" i="4" l="1"/>
  <c r="BQ201" i="4" l="1"/>
  <c r="BQ195" i="4"/>
  <c r="BR189" i="4" l="1"/>
  <c r="BR197" i="4" s="1"/>
  <c r="BR187" i="4"/>
  <c r="BR199" i="4" l="1"/>
  <c r="BR203" i="4" s="1"/>
  <c r="BR191" i="4" l="1"/>
  <c r="BR193" i="4" l="1"/>
  <c r="BR201" i="4" l="1"/>
  <c r="BR195" i="4"/>
  <c r="BS187" i="4" l="1"/>
  <c r="BS189" i="4"/>
  <c r="BS197" i="4" l="1"/>
  <c r="BS199" i="4" l="1"/>
  <c r="BS203" i="4" s="1"/>
  <c r="BS191" i="4" l="1"/>
  <c r="BS193" i="4" l="1"/>
  <c r="BS201" i="4" l="1"/>
  <c r="BS195" i="4"/>
  <c r="BT189" i="4" l="1"/>
  <c r="BT197" i="4" s="1"/>
  <c r="BT187" i="4"/>
  <c r="BT199" i="4" l="1"/>
  <c r="BT191" i="4" l="1"/>
  <c r="BT203" i="4"/>
  <c r="BT193" i="4" l="1"/>
  <c r="BT201" i="4" l="1"/>
  <c r="BT195" i="4"/>
  <c r="BU189" i="4" l="1"/>
  <c r="BU197" i="4" s="1"/>
  <c r="BU187" i="4"/>
  <c r="BU199" i="4" l="1"/>
  <c r="BU191" i="4" s="1"/>
  <c r="BU193" i="4" s="1"/>
  <c r="BU201" i="4" l="1"/>
  <c r="BU195" i="4"/>
  <c r="BU203" i="4"/>
  <c r="BV187" i="4" l="1"/>
  <c r="BV189" i="4"/>
  <c r="BV197" i="4" l="1"/>
  <c r="BV199" i="4" l="1"/>
  <c r="BV191" i="4" s="1"/>
  <c r="BV193" i="4" s="1"/>
  <c r="BV201" i="4" l="1"/>
  <c r="BV195" i="4"/>
  <c r="BV203" i="4"/>
  <c r="BW187" i="4" l="1"/>
  <c r="BW189" i="4"/>
  <c r="BW197" i="4" l="1"/>
  <c r="BW199" i="4" l="1"/>
  <c r="BW191" i="4" s="1"/>
  <c r="BW193" i="4" s="1"/>
  <c r="BW203" i="4" l="1"/>
  <c r="BW201" i="4"/>
  <c r="BW195" i="4"/>
  <c r="BX189" i="4" l="1"/>
  <c r="BX197" i="4" s="1"/>
  <c r="BX187" i="4"/>
  <c r="BX199" i="4" l="1"/>
  <c r="BX191" i="4" s="1"/>
  <c r="BX193" i="4" s="1"/>
  <c r="BX201" i="4" l="1"/>
  <c r="BX195" i="4"/>
  <c r="BX203" i="4"/>
  <c r="BY187" i="4" l="1"/>
  <c r="BY189" i="4"/>
  <c r="BY197" i="4" l="1"/>
  <c r="BY199" i="4" l="1"/>
  <c r="BY191" i="4" s="1"/>
  <c r="BY193" i="4" s="1"/>
  <c r="BY203" i="4" l="1"/>
  <c r="BY201" i="4"/>
  <c r="BY195" i="4"/>
  <c r="BZ189" i="4" l="1"/>
  <c r="BZ197" i="4" s="1"/>
  <c r="BZ187" i="4"/>
  <c r="BZ199" i="4" l="1"/>
  <c r="BZ191" i="4" s="1"/>
  <c r="BZ193" i="4" s="1"/>
  <c r="BZ201" i="4" l="1"/>
  <c r="BZ195" i="4"/>
  <c r="BZ203" i="4"/>
  <c r="CA187" i="4" l="1"/>
  <c r="CA189" i="4"/>
  <c r="CA197" i="4" l="1"/>
  <c r="CA199" i="4" l="1"/>
  <c r="CA191" i="4" s="1"/>
  <c r="CA193" i="4" s="1"/>
  <c r="CA201" i="4" l="1"/>
  <c r="CA195" i="4"/>
  <c r="CA203" i="4"/>
  <c r="T50" i="9" s="1"/>
  <c r="CB187" i="4" l="1"/>
  <c r="T48" i="9"/>
  <c r="T69" i="5"/>
  <c r="T71" i="5" s="1"/>
  <c r="T73" i="5" s="1"/>
  <c r="T50" i="7" s="1"/>
  <c r="T59" i="8"/>
  <c r="T56" i="8"/>
  <c r="T55" i="8" s="1"/>
  <c r="T61" i="8"/>
  <c r="T58" i="8" l="1"/>
  <c r="T18" i="8" s="1"/>
  <c r="T22" i="10" s="1"/>
  <c r="T24" i="10" s="1"/>
  <c r="T16" i="8"/>
  <c r="T75" i="5"/>
  <c r="T79" i="5" s="1"/>
  <c r="T46" i="7"/>
  <c r="T48" i="7" s="1"/>
  <c r="T52" i="7" s="1"/>
  <c r="T56" i="7" s="1"/>
  <c r="T70" i="9"/>
  <c r="T46" i="9" s="1"/>
  <c r="U48" i="8"/>
  <c r="T39" i="9" l="1"/>
  <c r="T37" i="9" s="1"/>
  <c r="T53" i="8"/>
  <c r="T18" i="10"/>
  <c r="T14" i="8"/>
  <c r="T21" i="8" s="1"/>
  <c r="U31" i="8"/>
  <c r="CB217" i="4"/>
  <c r="T26" i="9" l="1"/>
  <c r="T24" i="9" s="1"/>
  <c r="T13" i="9" s="1"/>
  <c r="T11" i="9" s="1"/>
  <c r="U12" i="8"/>
  <c r="T20" i="10"/>
  <c r="T26" i="10" s="1"/>
  <c r="T162" i="10"/>
  <c r="T62" i="10"/>
  <c r="U23" i="8"/>
  <c r="CB181" i="4"/>
  <c r="CB183" i="4" l="1"/>
  <c r="CB189" i="4" l="1"/>
  <c r="CB185" i="4"/>
  <c r="CC185" i="4" s="1"/>
  <c r="CD185" i="4" s="1"/>
  <c r="CE185" i="4" s="1"/>
  <c r="CF185" i="4" s="1"/>
  <c r="CG185" i="4" s="1"/>
  <c r="CH185" i="4" s="1"/>
  <c r="CI185" i="4" s="1"/>
  <c r="CJ185" i="4" s="1"/>
  <c r="CK185" i="4" s="1"/>
  <c r="CL185" i="4" s="1"/>
  <c r="CM185" i="4" s="1"/>
  <c r="CB197" i="4" l="1"/>
  <c r="CB199" i="4" l="1"/>
  <c r="CB191" i="4" l="1"/>
  <c r="CB203" i="4"/>
  <c r="CB193" i="4" l="1"/>
  <c r="CB195" i="4" l="1"/>
  <c r="CB201" i="4"/>
  <c r="CC189" i="4" l="1"/>
  <c r="CC197" i="4" s="1"/>
  <c r="CC187" i="4"/>
  <c r="CC199" i="4" l="1"/>
  <c r="CC203" i="4" s="1"/>
  <c r="CC191" i="4" l="1"/>
  <c r="CC193" i="4" l="1"/>
  <c r="CC201" i="4" l="1"/>
  <c r="CC195" i="4"/>
  <c r="CD187" i="4" l="1"/>
  <c r="CD189" i="4"/>
  <c r="CD197" i="4" l="1"/>
  <c r="CD199" i="4" l="1"/>
  <c r="CD203" i="4" s="1"/>
  <c r="CD191" i="4" l="1"/>
  <c r="CD193" i="4" l="1"/>
  <c r="CD201" i="4" l="1"/>
  <c r="CD195" i="4"/>
  <c r="CE187" i="4" l="1"/>
  <c r="CE189" i="4"/>
  <c r="CE197" i="4" l="1"/>
  <c r="CE199" i="4" l="1"/>
  <c r="CE203" i="4" s="1"/>
  <c r="CE191" i="4" l="1"/>
  <c r="CE193" i="4" l="1"/>
  <c r="CE201" i="4" l="1"/>
  <c r="CE195" i="4"/>
  <c r="CF187" i="4" l="1"/>
  <c r="CF189" i="4"/>
  <c r="CF197" i="4" l="1"/>
  <c r="CF199" i="4" l="1"/>
  <c r="CF191" i="4" l="1"/>
  <c r="CF203" i="4"/>
  <c r="CF193" i="4" l="1"/>
  <c r="CF201" i="4" l="1"/>
  <c r="CF195" i="4"/>
  <c r="CG187" i="4" l="1"/>
  <c r="CG189" i="4"/>
  <c r="CG197" i="4" l="1"/>
  <c r="CG199" i="4" l="1"/>
  <c r="CG191" i="4" s="1"/>
  <c r="CG193" i="4" s="1"/>
  <c r="CG201" i="4" l="1"/>
  <c r="CG195" i="4"/>
  <c r="CG203" i="4"/>
  <c r="CH187" i="4" l="1"/>
  <c r="CH189" i="4"/>
  <c r="CH197" i="4" l="1"/>
  <c r="CH199" i="4" l="1"/>
  <c r="CH191" i="4" s="1"/>
  <c r="CH193" i="4" s="1"/>
  <c r="CH201" i="4" l="1"/>
  <c r="CH195" i="4"/>
  <c r="CH203" i="4"/>
  <c r="CI187" i="4" l="1"/>
  <c r="CI189" i="4"/>
  <c r="CI197" i="4" l="1"/>
  <c r="CI199" i="4" l="1"/>
  <c r="CI191" i="4" s="1"/>
  <c r="CI193" i="4" s="1"/>
  <c r="CI203" i="4" l="1"/>
  <c r="CI201" i="4"/>
  <c r="CI195" i="4"/>
  <c r="CJ187" i="4" l="1"/>
  <c r="CJ189" i="4"/>
  <c r="CJ197" i="4" l="1"/>
  <c r="CJ199" i="4" l="1"/>
  <c r="CJ191" i="4" s="1"/>
  <c r="CJ193" i="4" s="1"/>
  <c r="CJ201" i="4" l="1"/>
  <c r="CJ195" i="4"/>
  <c r="CJ203" i="4"/>
  <c r="CK187" i="4" l="1"/>
  <c r="CK189" i="4"/>
  <c r="CK197" i="4" l="1"/>
  <c r="CK199" i="4" l="1"/>
  <c r="CK191" i="4" s="1"/>
  <c r="CK193" i="4" s="1"/>
  <c r="CK201" i="4" l="1"/>
  <c r="CK195" i="4"/>
  <c r="CK203" i="4"/>
  <c r="CL187" i="4" l="1"/>
  <c r="CL189" i="4"/>
  <c r="CL197" i="4" l="1"/>
  <c r="CL199" i="4" l="1"/>
  <c r="CL191" i="4" s="1"/>
  <c r="CL193" i="4" s="1"/>
  <c r="CL201" i="4" l="1"/>
  <c r="CL195" i="4"/>
  <c r="CL203" i="4"/>
  <c r="CM187" i="4" l="1"/>
  <c r="CM189" i="4"/>
  <c r="CM197" i="4" l="1"/>
  <c r="CM199" i="4" l="1"/>
  <c r="CM191" i="4" s="1"/>
  <c r="CM193" i="4" s="1"/>
  <c r="CM203" i="4" l="1"/>
  <c r="U50" i="9" s="1"/>
  <c r="CM201" i="4"/>
  <c r="CM195" i="4"/>
  <c r="CN187" i="4" l="1"/>
  <c r="U48" i="9"/>
  <c r="U69" i="5"/>
  <c r="U71" i="5" s="1"/>
  <c r="U73" i="5" s="1"/>
  <c r="U50" i="7" s="1"/>
  <c r="U59" i="8"/>
  <c r="U56" i="8"/>
  <c r="U55" i="8" s="1"/>
  <c r="U16" i="8" s="1"/>
  <c r="U18" i="10" s="1"/>
  <c r="U61" i="8"/>
  <c r="U58" i="8" l="1"/>
  <c r="U18" i="8" s="1"/>
  <c r="U14" i="8" s="1"/>
  <c r="U21" i="8" s="1"/>
  <c r="U75" i="5"/>
  <c r="U79" i="5" s="1"/>
  <c r="U20" i="10"/>
  <c r="U70" i="9"/>
  <c r="U46" i="9" s="1"/>
  <c r="V48" i="8"/>
  <c r="U46" i="7"/>
  <c r="U53" i="8" l="1"/>
  <c r="CN217" i="4"/>
  <c r="V31" i="8"/>
  <c r="U48" i="7"/>
  <c r="U22" i="10"/>
  <c r="U26" i="9"/>
  <c r="U24" i="9" s="1"/>
  <c r="U13" i="9" s="1"/>
  <c r="V12" i="8"/>
  <c r="U24" i="10" l="1"/>
  <c r="U62" i="10"/>
  <c r="U162" i="10"/>
  <c r="U52" i="7"/>
  <c r="V23" i="8"/>
  <c r="CN181" i="4"/>
  <c r="U39" i="9" l="1"/>
  <c r="U37" i="9" s="1"/>
  <c r="U11" i="9" s="1"/>
  <c r="U56" i="7"/>
  <c r="CN183" i="4"/>
  <c r="U26" i="10"/>
  <c r="CN185" i="4" l="1"/>
  <c r="CO185" i="4" s="1"/>
  <c r="CP185" i="4" s="1"/>
  <c r="CQ185" i="4" s="1"/>
  <c r="CR185" i="4" s="1"/>
  <c r="CS185" i="4" s="1"/>
  <c r="CT185" i="4" s="1"/>
  <c r="CU185" i="4" s="1"/>
  <c r="CV185" i="4" s="1"/>
  <c r="CW185" i="4" s="1"/>
  <c r="CX185" i="4" s="1"/>
  <c r="CY185" i="4" s="1"/>
  <c r="CN189" i="4"/>
  <c r="CN197" i="4" l="1"/>
  <c r="CN199" i="4" l="1"/>
  <c r="CN191" i="4" l="1"/>
  <c r="CN203" i="4"/>
  <c r="CN193" i="4" l="1"/>
  <c r="CN195" i="4" l="1"/>
  <c r="CN201" i="4"/>
  <c r="CO189" i="4" l="1"/>
  <c r="CO197" i="4" s="1"/>
  <c r="CO187" i="4"/>
  <c r="CO199" i="4" l="1"/>
  <c r="CO203" i="4" s="1"/>
  <c r="CO191" i="4" l="1"/>
  <c r="CO193" i="4" l="1"/>
  <c r="CO201" i="4" l="1"/>
  <c r="CO195" i="4"/>
  <c r="CP189" i="4" l="1"/>
  <c r="CP197" i="4" s="1"/>
  <c r="CP187" i="4"/>
  <c r="CP199" i="4" l="1"/>
  <c r="CP191" i="4" l="1"/>
  <c r="CP203" i="4"/>
  <c r="CP193" i="4" l="1"/>
  <c r="CP201" i="4" l="1"/>
  <c r="CP195" i="4"/>
  <c r="CQ187" i="4" l="1"/>
  <c r="CQ189" i="4"/>
  <c r="CQ197" i="4" l="1"/>
  <c r="CQ199" i="4" l="1"/>
  <c r="CQ191" i="4" l="1"/>
  <c r="CQ203" i="4"/>
  <c r="CQ193" i="4" l="1"/>
  <c r="CQ201" i="4" l="1"/>
  <c r="CQ195" i="4"/>
  <c r="CR189" i="4" l="1"/>
  <c r="CR197" i="4" s="1"/>
  <c r="CR187" i="4"/>
  <c r="CR199" i="4" l="1"/>
  <c r="CR203" i="4" s="1"/>
  <c r="CR191" i="4" l="1"/>
  <c r="CR193" i="4" l="1"/>
  <c r="CR201" i="4" l="1"/>
  <c r="CR195" i="4"/>
  <c r="CS187" i="4" l="1"/>
  <c r="CS189" i="4"/>
  <c r="CS197" i="4" l="1"/>
  <c r="CS199" i="4" l="1"/>
  <c r="CS191" i="4" s="1"/>
  <c r="CS193" i="4" s="1"/>
  <c r="CS201" i="4" l="1"/>
  <c r="CS195" i="4"/>
  <c r="CS203" i="4"/>
  <c r="CT187" i="4" l="1"/>
  <c r="CT189" i="4"/>
  <c r="CT197" i="4" l="1"/>
  <c r="CT199" i="4" l="1"/>
  <c r="CT191" i="4" s="1"/>
  <c r="CT193" i="4" s="1"/>
  <c r="CT203" i="4" l="1"/>
  <c r="CT201" i="4"/>
  <c r="CT195" i="4"/>
  <c r="CU187" i="4" l="1"/>
  <c r="CU189" i="4"/>
  <c r="CU197" i="4" l="1"/>
  <c r="CU199" i="4" l="1"/>
  <c r="CU191" i="4" s="1"/>
  <c r="CU193" i="4" s="1"/>
  <c r="CU203" i="4" l="1"/>
  <c r="CU201" i="4"/>
  <c r="CU195" i="4"/>
  <c r="CV187" i="4" l="1"/>
  <c r="CV189" i="4"/>
  <c r="CV197" i="4" l="1"/>
  <c r="CV199" i="4" l="1"/>
  <c r="CV191" i="4" s="1"/>
  <c r="CV193" i="4" s="1"/>
  <c r="CV203" i="4" l="1"/>
  <c r="CV201" i="4"/>
  <c r="CV195" i="4"/>
  <c r="CW187" i="4" l="1"/>
  <c r="CW189" i="4"/>
  <c r="CW197" i="4" l="1"/>
  <c r="CW199" i="4" l="1"/>
  <c r="CW191" i="4" s="1"/>
  <c r="CW193" i="4" s="1"/>
  <c r="CW201" i="4" l="1"/>
  <c r="CW195" i="4"/>
  <c r="CW203" i="4"/>
  <c r="CX187" i="4" l="1"/>
  <c r="CX189" i="4"/>
  <c r="CX197" i="4" l="1"/>
  <c r="CX199" i="4" l="1"/>
  <c r="CX191" i="4" s="1"/>
  <c r="CX193" i="4" s="1"/>
  <c r="CX203" i="4" l="1"/>
  <c r="CX201" i="4"/>
  <c r="CX195" i="4"/>
  <c r="CY187" i="4" l="1"/>
  <c r="CY189" i="4"/>
  <c r="CY197" i="4" l="1"/>
  <c r="CY199" i="4" l="1"/>
  <c r="CY191" i="4" s="1"/>
  <c r="CY193" i="4" s="1"/>
  <c r="CY201" i="4" l="1"/>
  <c r="CY195" i="4"/>
  <c r="CY203" i="4"/>
  <c r="V50" i="9" s="1"/>
  <c r="CZ187" i="4" l="1"/>
  <c r="V48" i="9"/>
  <c r="V69" i="5"/>
  <c r="V46" i="7" s="1"/>
  <c r="V48" i="7" s="1"/>
  <c r="V59" i="8"/>
  <c r="V56" i="8"/>
  <c r="V55" i="8" s="1"/>
  <c r="V61" i="8"/>
  <c r="V16" i="8" l="1"/>
  <c r="V58" i="8"/>
  <c r="V18" i="8" s="1"/>
  <c r="V22" i="10" s="1"/>
  <c r="V24" i="10" s="1"/>
  <c r="V18" i="10"/>
  <c r="V71" i="5"/>
  <c r="V14" i="8" l="1"/>
  <c r="V21" i="8" s="1"/>
  <c r="W12" i="8" s="1"/>
  <c r="V53" i="8"/>
  <c r="V73" i="5"/>
  <c r="V75" i="5" s="1"/>
  <c r="V26" i="9"/>
  <c r="V24" i="9" s="1"/>
  <c r="V13" i="9" s="1"/>
  <c r="V162" i="10"/>
  <c r="V20" i="10"/>
  <c r="V62" i="10"/>
  <c r="V79" i="5" l="1"/>
  <c r="V26" i="10"/>
  <c r="V50" i="7"/>
  <c r="V70" i="9" l="1"/>
  <c r="V46" i="9" s="1"/>
  <c r="W48" i="8"/>
  <c r="V52" i="7"/>
  <c r="V39" i="9" l="1"/>
  <c r="V37" i="9" s="1"/>
  <c r="V11" i="9" s="1"/>
  <c r="V56" i="7"/>
  <c r="CZ217" i="4"/>
  <c r="W31" i="8"/>
  <c r="W23" i="8" l="1"/>
  <c r="CZ181" i="4"/>
  <c r="CZ183" i="4" l="1"/>
  <c r="CZ189" i="4" l="1"/>
  <c r="CZ185" i="4"/>
  <c r="DA185" i="4" s="1"/>
  <c r="DB185" i="4" s="1"/>
  <c r="DC185" i="4" s="1"/>
  <c r="DD185" i="4" s="1"/>
  <c r="DE185" i="4" s="1"/>
  <c r="DF185" i="4" s="1"/>
  <c r="DG185" i="4" s="1"/>
  <c r="DH185" i="4" s="1"/>
  <c r="DI185" i="4" s="1"/>
  <c r="DJ185" i="4" s="1"/>
  <c r="DK185" i="4" s="1"/>
  <c r="CZ197" i="4" l="1"/>
  <c r="CZ199" i="4" l="1"/>
  <c r="CZ191" i="4" l="1"/>
  <c r="CZ203" i="4"/>
  <c r="CZ193" i="4" l="1"/>
  <c r="CZ195" i="4" l="1"/>
  <c r="CZ201" i="4"/>
  <c r="DA187" i="4" l="1"/>
  <c r="DA189" i="4"/>
  <c r="DA197" i="4" l="1"/>
  <c r="DA199" i="4" l="1"/>
  <c r="DA203" i="4" s="1"/>
  <c r="DA191" i="4" l="1"/>
  <c r="DA193" i="4" l="1"/>
  <c r="DA201" i="4" l="1"/>
  <c r="DA195" i="4"/>
  <c r="DB187" i="4" l="1"/>
  <c r="DB189" i="4"/>
  <c r="DB197" i="4" l="1"/>
  <c r="DB199" i="4" l="1"/>
  <c r="DB203" i="4" s="1"/>
  <c r="DB191" i="4" l="1"/>
  <c r="DB193" i="4" l="1"/>
  <c r="DB201" i="4" l="1"/>
  <c r="DB195" i="4"/>
  <c r="DC187" i="4" l="1"/>
  <c r="DC189" i="4"/>
  <c r="DC197" i="4" l="1"/>
  <c r="DC199" i="4" l="1"/>
  <c r="DC203" i="4" s="1"/>
  <c r="DC191" i="4" l="1"/>
  <c r="DC193" i="4" l="1"/>
  <c r="DC201" i="4" l="1"/>
  <c r="DC195" i="4"/>
  <c r="DD189" i="4" l="1"/>
  <c r="DD197" i="4" s="1"/>
  <c r="DD187" i="4"/>
  <c r="DD199" i="4" l="1"/>
  <c r="DD191" i="4" l="1"/>
  <c r="DD203" i="4"/>
  <c r="DD193" i="4" l="1"/>
  <c r="DD201" i="4" l="1"/>
  <c r="DD195" i="4"/>
  <c r="DE187" i="4" l="1"/>
  <c r="DE189" i="4"/>
  <c r="DE197" i="4" l="1"/>
  <c r="DE199" i="4" l="1"/>
  <c r="DE191" i="4" s="1"/>
  <c r="DE193" i="4" s="1"/>
  <c r="DE201" i="4" l="1"/>
  <c r="DE195" i="4"/>
  <c r="DE203" i="4"/>
  <c r="DF187" i="4" l="1"/>
  <c r="DF189" i="4"/>
  <c r="DF197" i="4" l="1"/>
  <c r="DF199" i="4" l="1"/>
  <c r="DF191" i="4" s="1"/>
  <c r="DF193" i="4" s="1"/>
  <c r="DF201" i="4" l="1"/>
  <c r="DF195" i="4"/>
  <c r="DF203" i="4"/>
  <c r="DG187" i="4" l="1"/>
  <c r="DG189" i="4"/>
  <c r="DG197" i="4" s="1"/>
  <c r="DG199" i="4" l="1"/>
  <c r="DG191" i="4" s="1"/>
  <c r="DG193" i="4" s="1"/>
  <c r="DG201" i="4" l="1"/>
  <c r="DG195" i="4"/>
  <c r="DG203" i="4"/>
  <c r="DH187" i="4" l="1"/>
  <c r="DH189" i="4"/>
  <c r="DH197" i="4" l="1"/>
  <c r="DH199" i="4" l="1"/>
  <c r="DH191" i="4" s="1"/>
  <c r="DH193" i="4" s="1"/>
  <c r="DH201" i="4" l="1"/>
  <c r="DH195" i="4"/>
  <c r="DH203" i="4"/>
  <c r="DI187" i="4" l="1"/>
  <c r="DI189" i="4"/>
  <c r="DI197" i="4" l="1"/>
  <c r="DI199" i="4" l="1"/>
  <c r="DI191" i="4" s="1"/>
  <c r="DI193" i="4" s="1"/>
  <c r="DI203" i="4" l="1"/>
  <c r="DI201" i="4"/>
  <c r="DI195" i="4"/>
  <c r="DJ187" i="4" l="1"/>
  <c r="DJ189" i="4"/>
  <c r="DJ197" i="4" l="1"/>
  <c r="DJ199" i="4" l="1"/>
  <c r="DJ191" i="4" s="1"/>
  <c r="DJ193" i="4" s="1"/>
  <c r="DJ201" i="4" l="1"/>
  <c r="DJ195" i="4"/>
  <c r="DJ203" i="4"/>
  <c r="DK187" i="4" l="1"/>
  <c r="DK189" i="4"/>
  <c r="DK197" i="4" l="1"/>
  <c r="DK199" i="4" l="1"/>
  <c r="DK191" i="4" s="1"/>
  <c r="DK193" i="4" s="1"/>
  <c r="DK203" i="4" l="1"/>
  <c r="W50" i="9" s="1"/>
  <c r="DK201" i="4"/>
  <c r="DK195" i="4"/>
  <c r="W48" i="9" l="1"/>
  <c r="DL187" i="4"/>
  <c r="W69" i="5"/>
  <c r="W71" i="5" s="1"/>
  <c r="W59" i="8"/>
  <c r="W56" i="8"/>
  <c r="W55" i="8" s="1"/>
  <c r="W16" i="8" s="1"/>
  <c r="W18" i="10" s="1"/>
  <c r="W61" i="8"/>
  <c r="W20" i="10" l="1"/>
  <c r="W46" i="7"/>
  <c r="W48" i="7" s="1"/>
  <c r="W58" i="8"/>
  <c r="W18" i="8" s="1"/>
  <c r="W22" i="10" s="1"/>
  <c r="W24" i="10" s="1"/>
  <c r="W73" i="5"/>
  <c r="W75" i="5" s="1"/>
  <c r="W62" i="10" l="1"/>
  <c r="W162" i="10"/>
  <c r="W14" i="8"/>
  <c r="W21" i="8" s="1"/>
  <c r="W53" i="8"/>
  <c r="W26" i="10"/>
  <c r="W79" i="5"/>
  <c r="W50" i="7"/>
  <c r="X12" i="8" l="1"/>
  <c r="W26" i="9"/>
  <c r="W24" i="9" s="1"/>
  <c r="W13" i="9" s="1"/>
  <c r="W70" i="9"/>
  <c r="W46" i="9" s="1"/>
  <c r="X48" i="8"/>
  <c r="W52" i="7"/>
  <c r="X31" i="8" l="1"/>
  <c r="DL217" i="4"/>
  <c r="W39" i="9"/>
  <c r="W37" i="9" s="1"/>
  <c r="W11" i="9" s="1"/>
  <c r="W56" i="7"/>
  <c r="DL181" i="4" l="1"/>
  <c r="X23" i="8"/>
  <c r="DL183" i="4" l="1"/>
  <c r="DL189" i="4" l="1"/>
  <c r="DL185" i="4"/>
  <c r="DM185" i="4" s="1"/>
  <c r="DN185" i="4" s="1"/>
  <c r="DO185" i="4" s="1"/>
  <c r="DP185" i="4" s="1"/>
  <c r="DQ185" i="4" s="1"/>
  <c r="DR185" i="4" s="1"/>
  <c r="DS185" i="4" s="1"/>
  <c r="DT185" i="4" s="1"/>
  <c r="DU185" i="4" s="1"/>
  <c r="DV185" i="4" s="1"/>
  <c r="DW185" i="4" s="1"/>
  <c r="DL197" i="4" l="1"/>
  <c r="DL199" i="4" l="1"/>
  <c r="DL203" i="4" s="1"/>
  <c r="DL191" i="4" l="1"/>
  <c r="DL193" i="4" l="1"/>
  <c r="DL195" i="4" l="1"/>
  <c r="DL201" i="4"/>
  <c r="DM189" i="4" l="1"/>
  <c r="DM197" i="4" s="1"/>
  <c r="DM187" i="4"/>
  <c r="DM199" i="4" l="1"/>
  <c r="DM191" i="4" l="1"/>
  <c r="DM203" i="4"/>
  <c r="DM193" i="4" l="1"/>
  <c r="DM201" i="4" l="1"/>
  <c r="DM195" i="4"/>
  <c r="DN187" i="4" l="1"/>
  <c r="DN189" i="4"/>
  <c r="DN197" i="4" l="1"/>
  <c r="DN199" i="4" l="1"/>
  <c r="DN191" i="4" l="1"/>
  <c r="DN203" i="4"/>
  <c r="DN193" i="4" l="1"/>
  <c r="DN201" i="4" l="1"/>
  <c r="DN195" i="4"/>
  <c r="DO187" i="4" l="1"/>
  <c r="DO189" i="4"/>
  <c r="DO197" i="4" l="1"/>
  <c r="DO199" i="4" l="1"/>
  <c r="DO191" i="4" l="1"/>
  <c r="DO203" i="4"/>
  <c r="DO193" i="4" l="1"/>
  <c r="DO201" i="4" l="1"/>
  <c r="DO195" i="4"/>
  <c r="DP187" i="4" l="1"/>
  <c r="DP189" i="4"/>
  <c r="DP197" i="4" l="1"/>
  <c r="DP199" i="4" l="1"/>
  <c r="DP191" i="4" l="1"/>
  <c r="DP203" i="4"/>
  <c r="DP193" i="4" l="1"/>
  <c r="DP201" i="4" l="1"/>
  <c r="DP195" i="4"/>
  <c r="DQ187" i="4" l="1"/>
  <c r="DQ189" i="4"/>
  <c r="DQ197" i="4" l="1"/>
  <c r="DQ199" i="4" l="1"/>
  <c r="DQ191" i="4" s="1"/>
  <c r="DQ193" i="4" s="1"/>
  <c r="DQ203" i="4" l="1"/>
  <c r="DQ201" i="4"/>
  <c r="DQ195" i="4"/>
  <c r="DR187" i="4" l="1"/>
  <c r="DR189" i="4"/>
  <c r="DR197" i="4" l="1"/>
  <c r="DR199" i="4" l="1"/>
  <c r="DR191" i="4" s="1"/>
  <c r="DR193" i="4" s="1"/>
  <c r="DR203" i="4" l="1"/>
  <c r="DR201" i="4"/>
  <c r="DR195" i="4"/>
  <c r="DS187" i="4" l="1"/>
  <c r="DS189" i="4"/>
  <c r="DS197" i="4" l="1"/>
  <c r="DS199" i="4" l="1"/>
  <c r="DS191" i="4" s="1"/>
  <c r="DS193" i="4" s="1"/>
  <c r="DS203" i="4" l="1"/>
  <c r="DS201" i="4"/>
  <c r="DS195" i="4"/>
  <c r="DT187" i="4" l="1"/>
  <c r="DT189" i="4"/>
  <c r="DT197" i="4" l="1"/>
  <c r="DT199" i="4" l="1"/>
  <c r="DT191" i="4" s="1"/>
  <c r="DT193" i="4" s="1"/>
  <c r="DT201" i="4" l="1"/>
  <c r="DT195" i="4"/>
  <c r="DT203" i="4"/>
  <c r="DU187" i="4" l="1"/>
  <c r="DU189" i="4"/>
  <c r="DU197" i="4" l="1"/>
  <c r="DU199" i="4" l="1"/>
  <c r="DU191" i="4" s="1"/>
  <c r="DU193" i="4" s="1"/>
  <c r="DU201" i="4" l="1"/>
  <c r="DU195" i="4"/>
  <c r="DU203" i="4"/>
  <c r="DV187" i="4" l="1"/>
  <c r="DV189" i="4"/>
  <c r="DV197" i="4" l="1"/>
  <c r="DV199" i="4" l="1"/>
  <c r="DV191" i="4" s="1"/>
  <c r="DV193" i="4" s="1"/>
  <c r="DV203" i="4" l="1"/>
  <c r="DV201" i="4"/>
  <c r="DV195" i="4"/>
  <c r="DW187" i="4" l="1"/>
  <c r="DW189" i="4"/>
  <c r="DW197" i="4" l="1"/>
  <c r="DW199" i="4" l="1"/>
  <c r="DW191" i="4" s="1"/>
  <c r="DW193" i="4" s="1"/>
  <c r="DW203" i="4" l="1"/>
  <c r="X50" i="9" s="1"/>
  <c r="DW201" i="4"/>
  <c r="DW195" i="4"/>
  <c r="DX187" i="4" l="1"/>
  <c r="X48" i="9"/>
  <c r="X69" i="5"/>
  <c r="X71" i="5" s="1"/>
  <c r="X59" i="8"/>
  <c r="X56" i="8"/>
  <c r="X55" i="8" s="1"/>
  <c r="X61" i="8"/>
  <c r="X58" i="8" l="1"/>
  <c r="X18" i="8" s="1"/>
  <c r="X22" i="10" s="1"/>
  <c r="X24" i="10" s="1"/>
  <c r="X46" i="7"/>
  <c r="X48" i="7" s="1"/>
  <c r="X16" i="8"/>
  <c r="X73" i="5"/>
  <c r="X75" i="5" s="1"/>
  <c r="X53" i="8" l="1"/>
  <c r="X79" i="5"/>
  <c r="X50" i="7"/>
  <c r="X14" i="8"/>
  <c r="X21" i="8" s="1"/>
  <c r="X18" i="10"/>
  <c r="X20" i="10" l="1"/>
  <c r="X62" i="10"/>
  <c r="X162" i="10"/>
  <c r="X70" i="9"/>
  <c r="X46" i="9" s="1"/>
  <c r="Y48" i="8"/>
  <c r="X52" i="7"/>
  <c r="Y12" i="8"/>
  <c r="X26" i="9"/>
  <c r="X24" i="9" s="1"/>
  <c r="X13" i="9" s="1"/>
  <c r="DX217" i="4" l="1"/>
  <c r="Y31" i="8"/>
  <c r="M48" i="8"/>
  <c r="X56" i="7"/>
  <c r="X39" i="9"/>
  <c r="X37" i="9" s="1"/>
  <c r="X11" i="9" s="1"/>
  <c r="X26" i="10"/>
  <c r="Y23" i="8" l="1"/>
  <c r="M23" i="8" s="1"/>
  <c r="M31" i="8"/>
  <c r="DX181" i="4"/>
  <c r="Q217" i="4"/>
  <c r="DX183" i="4" l="1"/>
  <c r="Q181" i="4"/>
  <c r="DX185" i="4" l="1"/>
  <c r="DY185" i="4" s="1"/>
  <c r="DZ185" i="4" s="1"/>
  <c r="EA185" i="4" s="1"/>
  <c r="EB185" i="4" s="1"/>
  <c r="EC185" i="4" s="1"/>
  <c r="ED185" i="4" s="1"/>
  <c r="EE185" i="4" s="1"/>
  <c r="EF185" i="4" s="1"/>
  <c r="EG185" i="4" s="1"/>
  <c r="EH185" i="4" s="1"/>
  <c r="EI185" i="4" s="1"/>
  <c r="DX189" i="4"/>
  <c r="Q183" i="4"/>
  <c r="DX197" i="4" l="1"/>
  <c r="DX199" i="4" l="1"/>
  <c r="DX191" i="4" l="1"/>
  <c r="DX203" i="4"/>
  <c r="DX193" i="4" l="1"/>
  <c r="DX195" i="4" l="1"/>
  <c r="DX201" i="4"/>
  <c r="DY189" i="4" l="1"/>
  <c r="DY197" i="4" s="1"/>
  <c r="DY187" i="4"/>
  <c r="DY199" i="4" l="1"/>
  <c r="DY191" i="4" l="1"/>
  <c r="DY203" i="4"/>
  <c r="DY193" i="4" l="1"/>
  <c r="DY201" i="4" l="1"/>
  <c r="DY195" i="4"/>
  <c r="DZ187" i="4" l="1"/>
  <c r="DZ189" i="4"/>
  <c r="DZ197" i="4" l="1"/>
  <c r="DZ199" i="4" l="1"/>
  <c r="DZ191" i="4" l="1"/>
  <c r="DZ203" i="4"/>
  <c r="DZ193" i="4" l="1"/>
  <c r="DZ201" i="4" l="1"/>
  <c r="DZ195" i="4"/>
  <c r="EA189" i="4" l="1"/>
  <c r="EA187" i="4"/>
  <c r="EA197" i="4" l="1"/>
  <c r="EA199" i="4" l="1"/>
  <c r="EA203" i="4" s="1"/>
  <c r="EA191" i="4" l="1"/>
  <c r="EA193" i="4" l="1"/>
  <c r="EA201" i="4" l="1"/>
  <c r="EA195" i="4"/>
  <c r="EB187" i="4" l="1"/>
  <c r="EB189" i="4"/>
  <c r="EB197" i="4" s="1"/>
  <c r="EB199" i="4" l="1"/>
  <c r="EB191" i="4" l="1"/>
  <c r="EB203" i="4"/>
  <c r="EB193" i="4" l="1"/>
  <c r="EB201" i="4" l="1"/>
  <c r="EB195" i="4"/>
  <c r="EC187" i="4" l="1"/>
  <c r="EC189" i="4"/>
  <c r="EC197" i="4" l="1"/>
  <c r="EC199" i="4" l="1"/>
  <c r="EC191" i="4" s="1"/>
  <c r="EC193" i="4" s="1"/>
  <c r="EC201" i="4" l="1"/>
  <c r="EC195" i="4"/>
  <c r="EC203" i="4"/>
  <c r="ED187" i="4" l="1"/>
  <c r="ED189" i="4"/>
  <c r="ED197" i="4" l="1"/>
  <c r="ED199" i="4" l="1"/>
  <c r="ED191" i="4" s="1"/>
  <c r="ED193" i="4" s="1"/>
  <c r="ED201" i="4" l="1"/>
  <c r="ED195" i="4"/>
  <c r="ED203" i="4"/>
  <c r="EE187" i="4" l="1"/>
  <c r="EE189" i="4"/>
  <c r="EE197" i="4" l="1"/>
  <c r="EE199" i="4" l="1"/>
  <c r="EE191" i="4" s="1"/>
  <c r="EE193" i="4" s="1"/>
  <c r="EE203" i="4" l="1"/>
  <c r="EE201" i="4"/>
  <c r="EE195" i="4"/>
  <c r="EF187" i="4" l="1"/>
  <c r="EF189" i="4"/>
  <c r="EF197" i="4" l="1"/>
  <c r="EF199" i="4" l="1"/>
  <c r="EF191" i="4" s="1"/>
  <c r="EF193" i="4" s="1"/>
  <c r="EF203" i="4" l="1"/>
  <c r="EF201" i="4"/>
  <c r="EF195" i="4"/>
  <c r="EG187" i="4" l="1"/>
  <c r="EG189" i="4"/>
  <c r="EG197" i="4" l="1"/>
  <c r="EG199" i="4" l="1"/>
  <c r="EG191" i="4" s="1"/>
  <c r="EG193" i="4" s="1"/>
  <c r="EG203" i="4" l="1"/>
  <c r="EG201" i="4"/>
  <c r="EG195" i="4"/>
  <c r="EH187" i="4" l="1"/>
  <c r="EH189" i="4"/>
  <c r="EH197" i="4" s="1"/>
  <c r="EH199" i="4" l="1"/>
  <c r="EH191" i="4" s="1"/>
  <c r="EH193" i="4" s="1"/>
  <c r="EH201" i="4" l="1"/>
  <c r="EH195" i="4"/>
  <c r="EH203" i="4"/>
  <c r="EI187" i="4" l="1"/>
  <c r="EI189" i="4"/>
  <c r="Y56" i="8" l="1"/>
  <c r="Q189" i="4"/>
  <c r="EI197" i="4"/>
  <c r="Q197" i="4" l="1"/>
  <c r="Y69" i="5"/>
  <c r="EI199" i="4"/>
  <c r="Y55" i="8"/>
  <c r="M56" i="8"/>
  <c r="Y16" i="8" l="1"/>
  <c r="M55" i="8"/>
  <c r="EI191" i="4"/>
  <c r="Q199" i="4"/>
  <c r="Y61" i="8"/>
  <c r="M61" i="8" s="1"/>
  <c r="Y46" i="7"/>
  <c r="Y71" i="5"/>
  <c r="M69" i="5"/>
  <c r="EI203" i="4"/>
  <c r="Y50" i="9" s="1"/>
  <c r="Y48" i="7" l="1"/>
  <c r="M46" i="7"/>
  <c r="Y73" i="5"/>
  <c r="Y75" i="5" s="1"/>
  <c r="M71" i="5"/>
  <c r="Q191" i="4"/>
  <c r="Y59" i="8"/>
  <c r="EI193" i="4"/>
  <c r="Y18" i="10"/>
  <c r="M16" i="8"/>
  <c r="Y79" i="5" l="1"/>
  <c r="M79" i="5" s="1"/>
  <c r="M75" i="5"/>
  <c r="Y20" i="10"/>
  <c r="M18" i="10"/>
  <c r="Y58" i="8"/>
  <c r="M59" i="8"/>
  <c r="Q193" i="4"/>
  <c r="EI201" i="4"/>
  <c r="EI195" i="4"/>
  <c r="Y48" i="9" s="1"/>
  <c r="Y50" i="7"/>
  <c r="Y52" i="7" s="1"/>
  <c r="M73" i="5"/>
  <c r="M48" i="7"/>
  <c r="M20" i="10" l="1"/>
  <c r="Y56" i="7"/>
  <c r="M56" i="7" s="1"/>
  <c r="M52" i="7"/>
  <c r="Y39" i="9"/>
  <c r="M58" i="8"/>
  <c r="Y18" i="8"/>
  <c r="Y53" i="8"/>
  <c r="M53" i="8" s="1"/>
  <c r="Y70" i="9"/>
  <c r="Y46" i="9" s="1"/>
  <c r="M50" i="7"/>
  <c r="Y22" i="10" l="1"/>
  <c r="M18" i="8"/>
  <c r="M14" i="8" s="1"/>
  <c r="M21" i="8" s="1"/>
  <c r="Y14" i="8"/>
  <c r="Y21" i="8" s="1"/>
  <c r="Y26" i="9" s="1"/>
  <c r="Y24" i="9" s="1"/>
  <c r="Y13" i="9" s="1"/>
  <c r="Y11" i="9" s="1"/>
  <c r="C8" i="9" s="1"/>
  <c r="Y37" i="9"/>
  <c r="C8" i="4" l="1"/>
  <c r="C2" i="8"/>
  <c r="C8" i="10"/>
  <c r="B8" i="3"/>
  <c r="C7" i="11"/>
  <c r="B2" i="2"/>
  <c r="C8" i="7"/>
  <c r="C2" i="1"/>
  <c r="C8" i="5"/>
  <c r="Y24" i="10"/>
  <c r="M22" i="10"/>
  <c r="Y62" i="10"/>
  <c r="M62" i="10" s="1"/>
  <c r="M63" i="10" s="1"/>
  <c r="Y162" i="10"/>
  <c r="Q64" i="10" l="1"/>
  <c r="R64" i="10"/>
  <c r="U64" i="10"/>
  <c r="V64" i="10"/>
  <c r="X64" i="10"/>
  <c r="Y64" i="10"/>
  <c r="P64" i="10"/>
  <c r="S64" i="10"/>
  <c r="W64" i="10"/>
  <c r="T64" i="10"/>
  <c r="M24" i="10"/>
  <c r="M26" i="10" s="1"/>
  <c r="Y26" i="10"/>
  <c r="M64" i="10" l="1"/>
  <c r="M29" i="10"/>
  <c r="M31" i="10"/>
  <c r="P35" i="10" l="1"/>
  <c r="M33" i="10"/>
  <c r="P29" i="10"/>
  <c r="M162" i="10"/>
  <c r="M163" i="10" s="1"/>
  <c r="L65" i="10"/>
  <c r="M65" i="10" s="1"/>
  <c r="K65" i="10"/>
  <c r="T66" i="10" l="1"/>
  <c r="W66" i="10"/>
  <c r="P66" i="10"/>
  <c r="X66" i="10"/>
  <c r="Q66" i="10"/>
  <c r="V66" i="10"/>
  <c r="R66" i="10"/>
  <c r="S66" i="10"/>
  <c r="Y66" i="10"/>
  <c r="U66" i="10"/>
  <c r="W164" i="10"/>
  <c r="S164" i="10"/>
  <c r="X164" i="10"/>
  <c r="U164" i="10"/>
  <c r="T164" i="10"/>
  <c r="R164" i="10"/>
  <c r="V164" i="10"/>
  <c r="P164" i="10"/>
  <c r="Y164" i="10"/>
  <c r="Q164" i="10"/>
  <c r="Q35" i="10"/>
  <c r="M164" i="10" l="1"/>
  <c r="L165" i="10" s="1"/>
  <c r="R35" i="10"/>
  <c r="S35" i="10" s="1"/>
  <c r="M66" i="10"/>
  <c r="K165" i="10" l="1"/>
  <c r="K67" i="10"/>
  <c r="L67" i="10"/>
  <c r="M67" i="10" s="1"/>
  <c r="T35" i="10"/>
  <c r="U35" i="10" s="1"/>
  <c r="M165" i="10"/>
  <c r="Q68" i="10" l="1"/>
  <c r="U68" i="10"/>
  <c r="X68" i="10"/>
  <c r="P68" i="10"/>
  <c r="R68" i="10"/>
  <c r="W68" i="10"/>
  <c r="V68" i="10"/>
  <c r="S68" i="10"/>
  <c r="T68" i="10"/>
  <c r="Y68" i="10"/>
  <c r="X166" i="10"/>
  <c r="Y166" i="10"/>
  <c r="S166" i="10"/>
  <c r="V166" i="10"/>
  <c r="R166" i="10"/>
  <c r="T166" i="10"/>
  <c r="Q166" i="10"/>
  <c r="P166" i="10"/>
  <c r="W166" i="10"/>
  <c r="U166" i="10"/>
  <c r="V35" i="10"/>
  <c r="W35" i="10" s="1"/>
  <c r="X35" i="10" s="1"/>
  <c r="M166" i="10" l="1"/>
  <c r="M68" i="10"/>
  <c r="Y35" i="10"/>
  <c r="M35" i="10" s="1"/>
  <c r="M39" i="10" l="1"/>
  <c r="S41" i="10" s="1"/>
  <c r="S43" i="10" s="1"/>
  <c r="M37" i="10"/>
  <c r="K69" i="10"/>
  <c r="L69" i="10"/>
  <c r="K167" i="10"/>
  <c r="L167" i="10"/>
  <c r="M69" i="10" l="1"/>
  <c r="P70" i="10" s="1"/>
  <c r="U41" i="10"/>
  <c r="U43" i="10" s="1"/>
  <c r="V41" i="10"/>
  <c r="V43" i="10" s="1"/>
  <c r="X41" i="10"/>
  <c r="X43" i="10" s="1"/>
  <c r="Q41" i="10"/>
  <c r="Q43" i="10" s="1"/>
  <c r="W41" i="10"/>
  <c r="W43" i="10" s="1"/>
  <c r="R41" i="10"/>
  <c r="R43" i="10" s="1"/>
  <c r="P41" i="10"/>
  <c r="P43" i="10" s="1"/>
  <c r="Y41" i="10"/>
  <c r="Y43" i="10" s="1"/>
  <c r="T41" i="10"/>
  <c r="T43" i="10" s="1"/>
  <c r="M167" i="10"/>
  <c r="S70" i="10" l="1"/>
  <c r="R70" i="10"/>
  <c r="V70" i="10"/>
  <c r="U70" i="10"/>
  <c r="Q70" i="10"/>
  <c r="Y70" i="10"/>
  <c r="W70" i="10"/>
  <c r="X70" i="10"/>
  <c r="T70" i="10"/>
  <c r="M43" i="10"/>
  <c r="M45" i="10" s="1"/>
  <c r="M47" i="10" s="1"/>
  <c r="W168" i="10"/>
  <c r="U168" i="10"/>
  <c r="P168" i="10"/>
  <c r="S168" i="10"/>
  <c r="X168" i="10"/>
  <c r="R168" i="10"/>
  <c r="T168" i="10"/>
  <c r="Y168" i="10"/>
  <c r="Q168" i="10"/>
  <c r="V168" i="10"/>
  <c r="M70" i="10" l="1"/>
  <c r="K71" i="10"/>
  <c r="L71" i="10"/>
  <c r="M168" i="10"/>
  <c r="M51" i="10"/>
  <c r="M53" i="10" s="1"/>
  <c r="M49" i="10"/>
  <c r="K169" i="10" l="1"/>
  <c r="L169" i="10"/>
  <c r="M71" i="10"/>
  <c r="R72" i="10" l="1"/>
  <c r="S72" i="10"/>
  <c r="P72" i="10"/>
  <c r="T72" i="10"/>
  <c r="V72" i="10"/>
  <c r="Y72" i="10"/>
  <c r="W72" i="10"/>
  <c r="U72" i="10"/>
  <c r="Q72" i="10"/>
  <c r="X72" i="10"/>
  <c r="M169" i="10"/>
  <c r="Q170" i="10" l="1"/>
  <c r="U170" i="10"/>
  <c r="S170" i="10"/>
  <c r="V170" i="10"/>
  <c r="Y170" i="10"/>
  <c r="W170" i="10"/>
  <c r="R170" i="10"/>
  <c r="T170" i="10"/>
  <c r="X170" i="10"/>
  <c r="P170" i="10"/>
  <c r="M72" i="10"/>
  <c r="M170" i="10" l="1"/>
  <c r="K171" i="10" s="1"/>
  <c r="K73" i="10"/>
  <c r="L73" i="10"/>
  <c r="L171" i="10" l="1"/>
  <c r="M171" i="10" s="1"/>
  <c r="M73" i="10"/>
  <c r="X74" i="10" l="1"/>
  <c r="R74" i="10"/>
  <c r="S74" i="10"/>
  <c r="P74" i="10"/>
  <c r="V74" i="10"/>
  <c r="T74" i="10"/>
  <c r="Y74" i="10"/>
  <c r="U74" i="10"/>
  <c r="W74" i="10"/>
  <c r="Q74" i="10"/>
  <c r="X172" i="10"/>
  <c r="S172" i="10"/>
  <c r="Q172" i="10"/>
  <c r="T172" i="10"/>
  <c r="R172" i="10"/>
  <c r="P172" i="10"/>
  <c r="W172" i="10"/>
  <c r="Y172" i="10"/>
  <c r="V172" i="10"/>
  <c r="U172" i="10"/>
  <c r="M74" i="10" l="1"/>
  <c r="M172" i="10"/>
  <c r="K173" i="10" l="1"/>
  <c r="L173" i="10"/>
  <c r="K75" i="10"/>
  <c r="L75" i="10"/>
  <c r="M75" i="10" s="1"/>
  <c r="Q76" i="10" l="1"/>
  <c r="X76" i="10"/>
  <c r="T76" i="10"/>
  <c r="U76" i="10"/>
  <c r="P76" i="10"/>
  <c r="V76" i="10"/>
  <c r="R76" i="10"/>
  <c r="Y76" i="10"/>
  <c r="S76" i="10"/>
  <c r="W76" i="10"/>
  <c r="M173" i="10"/>
  <c r="M76" i="10" l="1"/>
  <c r="S174" i="10"/>
  <c r="R174" i="10"/>
  <c r="Q174" i="10"/>
  <c r="X174" i="10"/>
  <c r="P174" i="10"/>
  <c r="U174" i="10"/>
  <c r="W174" i="10"/>
  <c r="V174" i="10"/>
  <c r="Y174" i="10"/>
  <c r="T174" i="10"/>
  <c r="M174" i="10" l="1"/>
  <c r="K77" i="10"/>
  <c r="L77" i="10"/>
  <c r="M77" i="10" s="1"/>
  <c r="S78" i="10" l="1"/>
  <c r="X78" i="10"/>
  <c r="T78" i="10"/>
  <c r="U78" i="10"/>
  <c r="R78" i="10"/>
  <c r="V78" i="10"/>
  <c r="P78" i="10"/>
  <c r="Y78" i="10"/>
  <c r="Q78" i="10"/>
  <c r="W78" i="10"/>
  <c r="K175" i="10"/>
  <c r="L175" i="10"/>
  <c r="M175" i="10" l="1"/>
  <c r="P176" i="10" s="1"/>
  <c r="S176" i="10"/>
  <c r="Q176" i="10"/>
  <c r="T176" i="10"/>
  <c r="U176" i="10"/>
  <c r="R176" i="10"/>
  <c r="M78" i="10"/>
  <c r="W176" i="10" l="1"/>
  <c r="Y176" i="10"/>
  <c r="V176" i="10"/>
  <c r="X176" i="10"/>
  <c r="K79" i="10"/>
  <c r="L79" i="10"/>
  <c r="M176" i="10" l="1"/>
  <c r="K177" i="10" s="1"/>
  <c r="M79" i="10"/>
  <c r="L177" i="10" l="1"/>
  <c r="S80" i="10"/>
  <c r="X80" i="10"/>
  <c r="Q80" i="10"/>
  <c r="T80" i="10"/>
  <c r="U80" i="10"/>
  <c r="P80" i="10"/>
  <c r="R80" i="10"/>
  <c r="V80" i="10"/>
  <c r="Y80" i="10"/>
  <c r="W80" i="10"/>
  <c r="M177" i="10"/>
  <c r="P178" i="10" l="1"/>
  <c r="T178" i="10"/>
  <c r="U178" i="10"/>
  <c r="Y178" i="10"/>
  <c r="W178" i="10"/>
  <c r="R178" i="10"/>
  <c r="Q178" i="10"/>
  <c r="V178" i="10"/>
  <c r="X178" i="10"/>
  <c r="S178" i="10"/>
  <c r="M80" i="10"/>
  <c r="K81" i="10" l="1"/>
  <c r="L81" i="10"/>
  <c r="M178" i="10"/>
  <c r="K179" i="10" l="1"/>
  <c r="L179" i="10"/>
  <c r="M81" i="10"/>
  <c r="Y82" i="10" l="1"/>
  <c r="S82" i="10"/>
  <c r="Q82" i="10"/>
  <c r="T82" i="10"/>
  <c r="U82" i="10"/>
  <c r="P82" i="10"/>
  <c r="R82" i="10"/>
  <c r="V82" i="10"/>
  <c r="W82" i="10"/>
  <c r="X82" i="10"/>
  <c r="M179" i="10"/>
  <c r="M82" i="10" l="1"/>
  <c r="T180" i="10"/>
  <c r="W180" i="10"/>
  <c r="X180" i="10"/>
  <c r="U180" i="10"/>
  <c r="S180" i="10"/>
  <c r="V180" i="10"/>
  <c r="R180" i="10"/>
  <c r="Y180" i="10"/>
  <c r="Q180" i="10"/>
  <c r="P180" i="10"/>
  <c r="M180" i="10" l="1"/>
  <c r="K181" i="10" s="1"/>
  <c r="K83" i="10"/>
  <c r="L83" i="10"/>
  <c r="M83" i="10" s="1"/>
  <c r="L181" i="10" l="1"/>
  <c r="U84" i="10"/>
  <c r="V84" i="10"/>
  <c r="R84" i="10"/>
  <c r="Y84" i="10"/>
  <c r="P84" i="10"/>
  <c r="S84" i="10"/>
  <c r="T84" i="10"/>
  <c r="Q84" i="10"/>
  <c r="W84" i="10"/>
  <c r="X84" i="10"/>
  <c r="M181" i="10"/>
  <c r="M84" i="10" l="1"/>
  <c r="X182" i="10"/>
  <c r="P182" i="10"/>
  <c r="R182" i="10"/>
  <c r="T182" i="10"/>
  <c r="S182" i="10"/>
  <c r="V182" i="10"/>
  <c r="Q182" i="10"/>
  <c r="Y182" i="10"/>
  <c r="U182" i="10"/>
  <c r="W182" i="10"/>
  <c r="M182" i="10" l="1"/>
  <c r="K85" i="10"/>
  <c r="L85" i="10"/>
  <c r="M85" i="10" l="1"/>
  <c r="K183" i="10"/>
  <c r="L183" i="10"/>
  <c r="M183" i="10" l="1"/>
  <c r="V184" i="10" s="1"/>
  <c r="P184" i="10"/>
  <c r="Y184" i="10"/>
  <c r="S86" i="10"/>
  <c r="T86" i="10"/>
  <c r="R86" i="10"/>
  <c r="Y86" i="10"/>
  <c r="P86" i="10"/>
  <c r="U86" i="10"/>
  <c r="V86" i="10"/>
  <c r="Q86" i="10"/>
  <c r="W86" i="10"/>
  <c r="X86" i="10"/>
  <c r="W184" i="10" l="1"/>
  <c r="T184" i="10"/>
  <c r="R184" i="10"/>
  <c r="Q184" i="10"/>
  <c r="U184" i="10"/>
  <c r="X184" i="10"/>
  <c r="S184" i="10"/>
  <c r="M86" i="10"/>
  <c r="M184" i="10" l="1"/>
  <c r="K185" i="10" s="1"/>
  <c r="K87" i="10"/>
  <c r="L87" i="10"/>
  <c r="L185" i="10" l="1"/>
  <c r="M185" i="10" s="1"/>
  <c r="M87" i="10"/>
  <c r="T186" i="10" l="1"/>
  <c r="Q186" i="10"/>
  <c r="X186" i="10"/>
  <c r="W186" i="10"/>
  <c r="R186" i="10"/>
  <c r="P186" i="10"/>
  <c r="Y186" i="10"/>
  <c r="V186" i="10"/>
  <c r="S186" i="10"/>
  <c r="U186" i="10"/>
  <c r="X88" i="10"/>
  <c r="R88" i="10"/>
  <c r="W88" i="10"/>
  <c r="P88" i="10"/>
  <c r="S88" i="10"/>
  <c r="T88" i="10"/>
  <c r="Y88" i="10"/>
  <c r="Q88" i="10"/>
  <c r="U88" i="10"/>
  <c r="V88" i="10"/>
  <c r="M186" i="10" l="1"/>
  <c r="K187" i="10" s="1"/>
  <c r="M88" i="10"/>
  <c r="L187" i="10" l="1"/>
  <c r="M187" i="10" s="1"/>
  <c r="K89" i="10"/>
  <c r="L89" i="10"/>
  <c r="S188" i="10" l="1"/>
  <c r="U188" i="10"/>
  <c r="Q188" i="10"/>
  <c r="R188" i="10"/>
  <c r="T188" i="10"/>
  <c r="P188" i="10"/>
  <c r="W188" i="10"/>
  <c r="Y188" i="10"/>
  <c r="V188" i="10"/>
  <c r="X188" i="10"/>
  <c r="M89" i="10"/>
  <c r="S90" i="10" l="1"/>
  <c r="X90" i="10"/>
  <c r="T90" i="10"/>
  <c r="P90" i="10"/>
  <c r="U90" i="10"/>
  <c r="Y90" i="10"/>
  <c r="Q90" i="10"/>
  <c r="R90" i="10"/>
  <c r="V90" i="10"/>
  <c r="W90" i="10"/>
  <c r="M188" i="10"/>
  <c r="K189" i="10" l="1"/>
  <c r="L189" i="10"/>
  <c r="M90" i="10"/>
  <c r="K91" i="10" l="1"/>
  <c r="L91" i="10"/>
  <c r="M91" i="10" s="1"/>
  <c r="M189" i="10"/>
  <c r="Y92" i="10" l="1"/>
  <c r="V92" i="10"/>
  <c r="U92" i="10"/>
  <c r="S92" i="10"/>
  <c r="W92" i="10"/>
  <c r="R92" i="10"/>
  <c r="X92" i="10"/>
  <c r="P92" i="10"/>
  <c r="Q92" i="10"/>
  <c r="T92" i="10"/>
  <c r="X190" i="10"/>
  <c r="R190" i="10"/>
  <c r="Q190" i="10"/>
  <c r="V190" i="10"/>
  <c r="T190" i="10"/>
  <c r="P190" i="10"/>
  <c r="U190" i="10"/>
  <c r="S190" i="10"/>
  <c r="Y190" i="10"/>
  <c r="W190" i="10"/>
  <c r="M92" i="10" l="1"/>
  <c r="K93" i="10" s="1"/>
  <c r="M190" i="10"/>
  <c r="L93" i="10" l="1"/>
  <c r="M93" i="10" s="1"/>
  <c r="K191" i="10"/>
  <c r="L191" i="10"/>
  <c r="W94" i="10" l="1"/>
  <c r="T94" i="10"/>
  <c r="X94" i="10"/>
  <c r="S94" i="10"/>
  <c r="Q94" i="10"/>
  <c r="U94" i="10"/>
  <c r="Y94" i="10"/>
  <c r="V94" i="10"/>
  <c r="P94" i="10"/>
  <c r="R94" i="10"/>
  <c r="M191" i="10"/>
  <c r="M94" i="10" l="1"/>
  <c r="Q192" i="10"/>
  <c r="Y192" i="10"/>
  <c r="X192" i="10"/>
  <c r="V192" i="10"/>
  <c r="R192" i="10"/>
  <c r="W192" i="10"/>
  <c r="T192" i="10"/>
  <c r="U192" i="10"/>
  <c r="S192" i="10"/>
  <c r="P192" i="10"/>
  <c r="M192" i="10" l="1"/>
  <c r="K193" i="10" s="1"/>
  <c r="K95" i="10"/>
  <c r="L95" i="10"/>
  <c r="L193" i="10" l="1"/>
  <c r="M193" i="10" s="1"/>
  <c r="M95" i="10"/>
  <c r="T96" i="10" l="1"/>
  <c r="P96" i="10"/>
  <c r="Q96" i="10"/>
  <c r="X96" i="10"/>
  <c r="U96" i="10"/>
  <c r="R96" i="10"/>
  <c r="V96" i="10"/>
  <c r="Y96" i="10"/>
  <c r="S96" i="10"/>
  <c r="W96" i="10"/>
  <c r="S194" i="10"/>
  <c r="U194" i="10"/>
  <c r="Y194" i="10"/>
  <c r="R194" i="10"/>
  <c r="W194" i="10"/>
  <c r="X194" i="10"/>
  <c r="P194" i="10"/>
  <c r="T194" i="10"/>
  <c r="V194" i="10"/>
  <c r="Q194" i="10"/>
  <c r="M194" i="10" l="1"/>
  <c r="M96" i="10"/>
  <c r="K97" i="10" l="1"/>
  <c r="L97" i="10"/>
  <c r="K195" i="10"/>
  <c r="L195" i="10"/>
  <c r="M195" i="10" l="1"/>
  <c r="M97" i="10"/>
  <c r="Q98" i="10" l="1"/>
  <c r="U98" i="10"/>
  <c r="R98" i="10"/>
  <c r="S98" i="10"/>
  <c r="P98" i="10"/>
  <c r="X98" i="10"/>
  <c r="Y98" i="10"/>
  <c r="T98" i="10"/>
  <c r="W98" i="10"/>
  <c r="V98" i="10"/>
  <c r="Y196" i="10"/>
  <c r="Q196" i="10"/>
  <c r="P196" i="10"/>
  <c r="W196" i="10"/>
  <c r="T196" i="10"/>
  <c r="S196" i="10"/>
  <c r="V196" i="10"/>
  <c r="R196" i="10"/>
  <c r="U196" i="10"/>
  <c r="X196" i="10"/>
  <c r="M98" i="10" l="1"/>
  <c r="M196" i="10"/>
  <c r="K197" i="10" l="1"/>
  <c r="L197" i="10"/>
  <c r="K99" i="10"/>
  <c r="L99" i="10"/>
  <c r="M99" i="10" l="1"/>
  <c r="M197" i="10"/>
  <c r="W100" i="10" l="1"/>
  <c r="R100" i="10"/>
  <c r="Y100" i="10"/>
  <c r="S100" i="10"/>
  <c r="T100" i="10"/>
  <c r="U100" i="10"/>
  <c r="V100" i="10"/>
  <c r="P100" i="10"/>
  <c r="Q100" i="10"/>
  <c r="X100" i="10"/>
  <c r="X198" i="10"/>
  <c r="P198" i="10"/>
  <c r="R198" i="10"/>
  <c r="U198" i="10"/>
  <c r="W198" i="10"/>
  <c r="V198" i="10"/>
  <c r="Y198" i="10"/>
  <c r="T198" i="10"/>
  <c r="Q198" i="10"/>
  <c r="S198" i="10"/>
  <c r="M198" i="10" l="1"/>
  <c r="K199" i="10" s="1"/>
  <c r="M100" i="10"/>
  <c r="K101" i="10" s="1"/>
  <c r="L199" i="10" l="1"/>
  <c r="M199" i="10" s="1"/>
  <c r="V200" i="10" s="1"/>
  <c r="L101" i="10"/>
  <c r="M101" i="10" s="1"/>
  <c r="U102" i="10" s="1"/>
  <c r="W200" i="10" l="1"/>
  <c r="S200" i="10"/>
  <c r="U200" i="10"/>
  <c r="Q200" i="10"/>
  <c r="P200" i="10"/>
  <c r="X200" i="10"/>
  <c r="T200" i="10"/>
  <c r="Y200" i="10"/>
  <c r="R200" i="10"/>
  <c r="R102" i="10"/>
  <c r="S102" i="10"/>
  <c r="T102" i="10"/>
  <c r="W102" i="10"/>
  <c r="V102" i="10"/>
  <c r="X102" i="10"/>
  <c r="Q102" i="10"/>
  <c r="P102" i="10"/>
  <c r="Y102" i="10"/>
  <c r="M200" i="10" l="1"/>
  <c r="L201" i="10" s="1"/>
  <c r="M102" i="10"/>
  <c r="K103" i="10" s="1"/>
  <c r="K201" i="10" l="1"/>
  <c r="L103" i="10"/>
  <c r="M103" i="10" s="1"/>
  <c r="M201" i="10"/>
  <c r="P202" i="10" l="1"/>
  <c r="U202" i="10"/>
  <c r="X202" i="10"/>
  <c r="W202" i="10"/>
  <c r="Y202" i="10"/>
  <c r="S202" i="10"/>
  <c r="T202" i="10"/>
  <c r="V202" i="10"/>
  <c r="Q202" i="10"/>
  <c r="R202" i="10"/>
  <c r="T104" i="10"/>
  <c r="U104" i="10"/>
  <c r="S104" i="10"/>
  <c r="W104" i="10"/>
  <c r="P104" i="10"/>
  <c r="Q104" i="10"/>
  <c r="R104" i="10"/>
  <c r="X104" i="10"/>
  <c r="Y104" i="10"/>
  <c r="V104" i="10"/>
  <c r="M104" i="10" l="1"/>
  <c r="M202" i="10"/>
  <c r="K203" i="10" l="1"/>
  <c r="L203" i="10"/>
  <c r="K105" i="10"/>
  <c r="L105" i="10"/>
  <c r="M203" i="10" l="1"/>
  <c r="S204" i="10"/>
  <c r="W204" i="10"/>
  <c r="Q204" i="10"/>
  <c r="Y204" i="10"/>
  <c r="P204" i="10"/>
  <c r="U204" i="10"/>
  <c r="T204" i="10"/>
  <c r="V204" i="10"/>
  <c r="X204" i="10"/>
  <c r="R204" i="10"/>
  <c r="M105" i="10"/>
  <c r="R106" i="10" l="1"/>
  <c r="Q106" i="10"/>
  <c r="U106" i="10"/>
  <c r="X106" i="10"/>
  <c r="S106" i="10"/>
  <c r="V106" i="10"/>
  <c r="W106" i="10"/>
  <c r="Y106" i="10"/>
  <c r="T106" i="10"/>
  <c r="P106" i="10"/>
  <c r="M204" i="10"/>
  <c r="M106" i="10" l="1"/>
  <c r="K107" i="10" s="1"/>
  <c r="K205" i="10"/>
  <c r="L205" i="10"/>
  <c r="L107" i="10" l="1"/>
  <c r="M107" i="10" s="1"/>
  <c r="M205" i="10"/>
  <c r="X108" i="10" l="1"/>
  <c r="P108" i="10"/>
  <c r="W108" i="10"/>
  <c r="Q108" i="10"/>
  <c r="S108" i="10"/>
  <c r="V108" i="10"/>
  <c r="T108" i="10"/>
  <c r="U108" i="10"/>
  <c r="R108" i="10"/>
  <c r="Y108" i="10"/>
  <c r="U206" i="10"/>
  <c r="X206" i="10"/>
  <c r="P206" i="10"/>
  <c r="R206" i="10"/>
  <c r="S206" i="10"/>
  <c r="V206" i="10"/>
  <c r="W206" i="10"/>
  <c r="Q206" i="10"/>
  <c r="Y206" i="10"/>
  <c r="T206" i="10"/>
  <c r="M108" i="10" l="1"/>
  <c r="M206" i="10"/>
  <c r="K207" i="10" l="1"/>
  <c r="L207" i="10"/>
  <c r="K109" i="10"/>
  <c r="L109" i="10"/>
  <c r="M109" i="10" s="1"/>
  <c r="W110" i="10" l="1"/>
  <c r="X110" i="10"/>
  <c r="Y110" i="10"/>
  <c r="V110" i="10"/>
  <c r="Q110" i="10"/>
  <c r="T110" i="10"/>
  <c r="R110" i="10"/>
  <c r="S110" i="10"/>
  <c r="U110" i="10"/>
  <c r="P110" i="10"/>
  <c r="M207" i="10"/>
  <c r="U208" i="10" l="1"/>
  <c r="R208" i="10"/>
  <c r="V208" i="10"/>
  <c r="Q208" i="10"/>
  <c r="S208" i="10"/>
  <c r="P208" i="10"/>
  <c r="X208" i="10"/>
  <c r="Y208" i="10"/>
  <c r="W208" i="10"/>
  <c r="T208" i="10"/>
  <c r="M110" i="10"/>
  <c r="K111" i="10" l="1"/>
  <c r="L111" i="10"/>
  <c r="M208" i="10"/>
  <c r="K209" i="10" l="1"/>
  <c r="L209" i="10"/>
  <c r="M209" i="10" s="1"/>
  <c r="M111" i="10"/>
  <c r="R210" i="10" l="1"/>
  <c r="W210" i="10"/>
  <c r="T210" i="10"/>
  <c r="Q210" i="10"/>
  <c r="S210" i="10"/>
  <c r="P210" i="10"/>
  <c r="X210" i="10"/>
  <c r="Y210" i="10"/>
  <c r="U210" i="10"/>
  <c r="V210" i="10"/>
  <c r="X112" i="10"/>
  <c r="T112" i="10"/>
  <c r="Y112" i="10"/>
  <c r="S112" i="10"/>
  <c r="W112" i="10"/>
  <c r="R112" i="10"/>
  <c r="P112" i="10"/>
  <c r="Q112" i="10"/>
  <c r="V112" i="10"/>
  <c r="U112" i="10"/>
  <c r="M210" i="10" l="1"/>
  <c r="M112" i="10"/>
  <c r="K113" i="10" l="1"/>
  <c r="L113" i="10"/>
  <c r="K211" i="10"/>
  <c r="L211" i="10"/>
  <c r="M211" i="10" l="1"/>
  <c r="V212" i="10" s="1"/>
  <c r="U212" i="10"/>
  <c r="T212" i="10"/>
  <c r="P212" i="10"/>
  <c r="X212" i="10"/>
  <c r="Y212" i="10"/>
  <c r="S212" i="10"/>
  <c r="M113" i="10"/>
  <c r="Q212" i="10" l="1"/>
  <c r="R212" i="10"/>
  <c r="W212" i="10"/>
  <c r="X114" i="10"/>
  <c r="V114" i="10"/>
  <c r="W114" i="10"/>
  <c r="S114" i="10"/>
  <c r="T114" i="10"/>
  <c r="R114" i="10"/>
  <c r="U114" i="10"/>
  <c r="Y114" i="10"/>
  <c r="P114" i="10"/>
  <c r="Q114" i="10"/>
  <c r="M212" i="10" l="1"/>
  <c r="K213" i="10" s="1"/>
  <c r="M114" i="10"/>
  <c r="L213" i="10" l="1"/>
  <c r="M213" i="10" s="1"/>
  <c r="K115" i="10"/>
  <c r="L115" i="10"/>
  <c r="M115" i="10" s="1"/>
  <c r="V116" i="10" l="1"/>
  <c r="T116" i="10"/>
  <c r="U116" i="10"/>
  <c r="S116" i="10"/>
  <c r="W116" i="10"/>
  <c r="X116" i="10"/>
  <c r="Y116" i="10"/>
  <c r="Q116" i="10"/>
  <c r="R116" i="10"/>
  <c r="P116" i="10"/>
  <c r="V214" i="10"/>
  <c r="T214" i="10"/>
  <c r="W214" i="10"/>
  <c r="P214" i="10"/>
  <c r="S214" i="10"/>
  <c r="U214" i="10"/>
  <c r="R214" i="10"/>
  <c r="X214" i="10"/>
  <c r="Y214" i="10"/>
  <c r="Q214" i="10"/>
  <c r="M116" i="10" l="1"/>
  <c r="K117" i="10" s="1"/>
  <c r="M214" i="10"/>
  <c r="L117" i="10" l="1"/>
  <c r="M117" i="10" s="1"/>
  <c r="K215" i="10"/>
  <c r="L215" i="10"/>
  <c r="Y118" i="10" l="1"/>
  <c r="T118" i="10"/>
  <c r="R118" i="10"/>
  <c r="S118" i="10"/>
  <c r="P118" i="10"/>
  <c r="Q118" i="10"/>
  <c r="U118" i="10"/>
  <c r="X118" i="10"/>
  <c r="V118" i="10"/>
  <c r="W118" i="10"/>
  <c r="M215" i="10"/>
  <c r="T216" i="10" l="1"/>
  <c r="V216" i="10"/>
  <c r="P216" i="10"/>
  <c r="Q216" i="10"/>
  <c r="W216" i="10"/>
  <c r="S216" i="10"/>
  <c r="U216" i="10"/>
  <c r="R216" i="10"/>
  <c r="X216" i="10"/>
  <c r="Y216" i="10"/>
  <c r="M118" i="10"/>
  <c r="K119" i="10" l="1"/>
  <c r="L119" i="10"/>
  <c r="M216" i="10"/>
  <c r="K217" i="10" l="1"/>
  <c r="L217" i="10"/>
  <c r="M119" i="10"/>
  <c r="T120" i="10" l="1"/>
  <c r="U120" i="10"/>
  <c r="P120" i="10"/>
  <c r="R120" i="10"/>
  <c r="Y120" i="10"/>
  <c r="Q120" i="10"/>
  <c r="X120" i="10"/>
  <c r="S120" i="10"/>
  <c r="V120" i="10"/>
  <c r="W120" i="10"/>
  <c r="M217" i="10"/>
  <c r="Y218" i="10" l="1"/>
  <c r="R218" i="10"/>
  <c r="V218" i="10"/>
  <c r="P218" i="10"/>
  <c r="Q218" i="10"/>
  <c r="W218" i="10"/>
  <c r="T218" i="10"/>
  <c r="X218" i="10"/>
  <c r="S218" i="10"/>
  <c r="U218" i="10"/>
  <c r="M120" i="10"/>
  <c r="K121" i="10" l="1"/>
  <c r="L121" i="10"/>
  <c r="M218" i="10"/>
  <c r="K219" i="10" l="1"/>
  <c r="L219" i="10"/>
  <c r="M121" i="10"/>
  <c r="R122" i="10" l="1"/>
  <c r="S122" i="10"/>
  <c r="U122" i="10"/>
  <c r="P122" i="10"/>
  <c r="Y122" i="10"/>
  <c r="Q122" i="10"/>
  <c r="T122" i="10"/>
  <c r="X122" i="10"/>
  <c r="W122" i="10"/>
  <c r="V122" i="10"/>
  <c r="M219" i="10"/>
  <c r="W220" i="10" l="1"/>
  <c r="R220" i="10"/>
  <c r="T220" i="10"/>
  <c r="X220" i="10"/>
  <c r="P220" i="10"/>
  <c r="Y220" i="10"/>
  <c r="V220" i="10"/>
  <c r="S220" i="10"/>
  <c r="U220" i="10"/>
  <c r="Q220" i="10"/>
  <c r="M122" i="10"/>
  <c r="K123" i="10" l="1"/>
  <c r="L123" i="10"/>
  <c r="M220" i="10"/>
  <c r="K221" i="10" l="1"/>
  <c r="L221" i="10"/>
  <c r="M123" i="10"/>
  <c r="P124" i="10" l="1"/>
  <c r="Q124" i="10"/>
  <c r="V124" i="10"/>
  <c r="X124" i="10"/>
  <c r="T124" i="10"/>
  <c r="S124" i="10"/>
  <c r="U124" i="10"/>
  <c r="W124" i="10"/>
  <c r="Y124" i="10"/>
  <c r="R124" i="10"/>
  <c r="M221" i="10"/>
  <c r="V222" i="10" l="1"/>
  <c r="U222" i="10"/>
  <c r="R222" i="10"/>
  <c r="X222" i="10"/>
  <c r="P222" i="10"/>
  <c r="Q222" i="10"/>
  <c r="Y222" i="10"/>
  <c r="T222" i="10"/>
  <c r="S222" i="10"/>
  <c r="W222" i="10"/>
  <c r="M124" i="10"/>
  <c r="K125" i="10" l="1"/>
  <c r="L125" i="10"/>
  <c r="M222" i="10"/>
  <c r="K223" i="10" l="1"/>
  <c r="L223" i="10"/>
  <c r="M125" i="10"/>
  <c r="T126" i="10" l="1"/>
  <c r="R126" i="10"/>
  <c r="P126" i="10"/>
  <c r="X126" i="10"/>
  <c r="S126" i="10"/>
  <c r="W126" i="10"/>
  <c r="V126" i="10"/>
  <c r="Y126" i="10"/>
  <c r="U126" i="10"/>
  <c r="Q126" i="10"/>
  <c r="M223" i="10"/>
  <c r="W224" i="10" l="1"/>
  <c r="S224" i="10"/>
  <c r="T224" i="10"/>
  <c r="X224" i="10"/>
  <c r="Q224" i="10"/>
  <c r="P224" i="10"/>
  <c r="V224" i="10"/>
  <c r="Y224" i="10"/>
  <c r="R224" i="10"/>
  <c r="U224" i="10"/>
  <c r="M126" i="10"/>
  <c r="M224" i="10" l="1"/>
  <c r="K127" i="10"/>
  <c r="L127" i="10"/>
  <c r="M127" i="10" s="1"/>
  <c r="S128" i="10" l="1"/>
  <c r="W128" i="10"/>
  <c r="P128" i="10"/>
  <c r="Y128" i="10"/>
  <c r="Q128" i="10"/>
  <c r="U128" i="10"/>
  <c r="V128" i="10"/>
  <c r="X128" i="10"/>
  <c r="T128" i="10"/>
  <c r="R128" i="10"/>
  <c r="K225" i="10"/>
  <c r="L225" i="10"/>
  <c r="M128" i="10" l="1"/>
  <c r="M225" i="10"/>
  <c r="P226" i="10" l="1"/>
  <c r="U226" i="10"/>
  <c r="W226" i="10"/>
  <c r="Q226" i="10"/>
  <c r="T226" i="10"/>
  <c r="V226" i="10"/>
  <c r="S226" i="10"/>
  <c r="X226" i="10"/>
  <c r="R226" i="10"/>
  <c r="Y226" i="10"/>
  <c r="K129" i="10"/>
  <c r="L129" i="10"/>
  <c r="M129" i="10" l="1"/>
  <c r="Q130" i="10" s="1"/>
  <c r="M226" i="10"/>
  <c r="R130" i="10" l="1"/>
  <c r="V130" i="10"/>
  <c r="U130" i="10"/>
  <c r="P130" i="10"/>
  <c r="S130" i="10"/>
  <c r="W130" i="10"/>
  <c r="T130" i="10"/>
  <c r="X130" i="10"/>
  <c r="Y130" i="10"/>
  <c r="K227" i="10"/>
  <c r="L227" i="10"/>
  <c r="M227" i="10" s="1"/>
  <c r="M130" i="10" l="1"/>
  <c r="Y228" i="10"/>
  <c r="U228" i="10"/>
  <c r="W228" i="10"/>
  <c r="T228" i="10"/>
  <c r="S228" i="10"/>
  <c r="Q228" i="10"/>
  <c r="P228" i="10"/>
  <c r="X228" i="10"/>
  <c r="R228" i="10"/>
  <c r="V228" i="10"/>
  <c r="K131" i="10"/>
  <c r="L131" i="10"/>
  <c r="M131" i="10" l="1"/>
  <c r="Y132" i="10" s="1"/>
  <c r="M228" i="10"/>
  <c r="S132" i="10" l="1"/>
  <c r="V132" i="10"/>
  <c r="U132" i="10"/>
  <c r="X132" i="10"/>
  <c r="P132" i="10"/>
  <c r="W132" i="10"/>
  <c r="Q132" i="10"/>
  <c r="T132" i="10"/>
  <c r="R132" i="10"/>
  <c r="K229" i="10"/>
  <c r="L229" i="10"/>
  <c r="M229" i="10" s="1"/>
  <c r="M132" i="10" l="1"/>
  <c r="L133" i="10" s="1"/>
  <c r="X230" i="10"/>
  <c r="U230" i="10"/>
  <c r="W230" i="10"/>
  <c r="Y230" i="10"/>
  <c r="T230" i="10"/>
  <c r="S230" i="10"/>
  <c r="Q230" i="10"/>
  <c r="P230" i="10"/>
  <c r="R230" i="10"/>
  <c r="V230" i="10"/>
  <c r="K133" i="10" l="1"/>
  <c r="M133" i="10"/>
  <c r="X134" i="10" s="1"/>
  <c r="U134" i="10"/>
  <c r="Y134" i="10"/>
  <c r="V134" i="10"/>
  <c r="S134" i="10"/>
  <c r="T134" i="10"/>
  <c r="M230" i="10"/>
  <c r="P134" i="10" l="1"/>
  <c r="R134" i="10"/>
  <c r="Q134" i="10"/>
  <c r="W134" i="10"/>
  <c r="M134" i="10" s="1"/>
  <c r="K231" i="10"/>
  <c r="L231" i="10"/>
  <c r="K135" i="10" l="1"/>
  <c r="L135" i="10"/>
  <c r="M231" i="10"/>
  <c r="V232" i="10" l="1"/>
  <c r="U232" i="10"/>
  <c r="Y232" i="10"/>
  <c r="X232" i="10"/>
  <c r="W232" i="10"/>
  <c r="T232" i="10"/>
  <c r="Q232" i="10"/>
  <c r="P232" i="10"/>
  <c r="R232" i="10"/>
  <c r="S232" i="10"/>
  <c r="M135" i="10"/>
  <c r="T136" i="10" l="1"/>
  <c r="V136" i="10"/>
  <c r="U136" i="10"/>
  <c r="Y136" i="10"/>
  <c r="S136" i="10"/>
  <c r="W136" i="10"/>
  <c r="X136" i="10"/>
  <c r="R136" i="10"/>
  <c r="Q136" i="10"/>
  <c r="P136" i="10"/>
  <c r="M232" i="10"/>
  <c r="M136" i="10" l="1"/>
  <c r="K137" i="10" s="1"/>
  <c r="K233" i="10"/>
  <c r="L233" i="10"/>
  <c r="L137" i="10" l="1"/>
  <c r="M137" i="10" s="1"/>
  <c r="M233" i="10"/>
  <c r="U138" i="10" l="1"/>
  <c r="S138" i="10"/>
  <c r="W138" i="10"/>
  <c r="Q138" i="10"/>
  <c r="T138" i="10"/>
  <c r="Y138" i="10"/>
  <c r="X138" i="10"/>
  <c r="P138" i="10"/>
  <c r="R138" i="10"/>
  <c r="V138" i="10"/>
  <c r="R234" i="10"/>
  <c r="X234" i="10"/>
  <c r="T234" i="10"/>
  <c r="W234" i="10"/>
  <c r="Y234" i="10"/>
  <c r="U234" i="10"/>
  <c r="V234" i="10"/>
  <c r="S234" i="10"/>
  <c r="Q234" i="10"/>
  <c r="P234" i="10"/>
  <c r="M138" i="10" l="1"/>
  <c r="L139" i="10" s="1"/>
  <c r="M234" i="10"/>
  <c r="K139" i="10" l="1"/>
  <c r="M139" i="10" s="1"/>
  <c r="K235" i="10"/>
  <c r="L235" i="10"/>
  <c r="S140" i="10" l="1"/>
  <c r="V140" i="10"/>
  <c r="Y140" i="10"/>
  <c r="U140" i="10"/>
  <c r="W140" i="10"/>
  <c r="X140" i="10"/>
  <c r="Q140" i="10"/>
  <c r="T140" i="10"/>
  <c r="P140" i="10"/>
  <c r="R140" i="10"/>
  <c r="M235" i="10"/>
  <c r="M140" i="10" l="1"/>
  <c r="K141" i="10" s="1"/>
  <c r="L141" i="10"/>
  <c r="M141" i="10" s="1"/>
  <c r="T236" i="10"/>
  <c r="R236" i="10"/>
  <c r="W236" i="10"/>
  <c r="Y236" i="10"/>
  <c r="U236" i="10"/>
  <c r="S236" i="10"/>
  <c r="X236" i="10"/>
  <c r="V236" i="10"/>
  <c r="Q236" i="10"/>
  <c r="P236" i="10"/>
  <c r="Y142" i="10" l="1"/>
  <c r="V142" i="10"/>
  <c r="Q142" i="10"/>
  <c r="R142" i="10"/>
  <c r="U142" i="10"/>
  <c r="P142" i="10"/>
  <c r="S142" i="10"/>
  <c r="T142" i="10"/>
  <c r="X142" i="10"/>
  <c r="W142" i="10"/>
  <c r="M236" i="10"/>
  <c r="K237" i="10" l="1"/>
  <c r="L237" i="10"/>
  <c r="M142" i="10"/>
  <c r="M237" i="10" l="1"/>
  <c r="R238" i="10" s="1"/>
  <c r="Y238" i="10"/>
  <c r="U238" i="10"/>
  <c r="Q238" i="10"/>
  <c r="V238" i="10"/>
  <c r="S238" i="10"/>
  <c r="K143" i="10"/>
  <c r="L143" i="10"/>
  <c r="X238" i="10" l="1"/>
  <c r="W238" i="10"/>
  <c r="P238" i="10"/>
  <c r="T238" i="10"/>
  <c r="M143" i="10"/>
  <c r="S144" i="10" s="1"/>
  <c r="U144" i="10" l="1"/>
  <c r="T144" i="10"/>
  <c r="X144" i="10"/>
  <c r="P144" i="10"/>
  <c r="R144" i="10"/>
  <c r="Q144" i="10"/>
  <c r="M238" i="10"/>
  <c r="K239" i="10" s="1"/>
  <c r="W144" i="10"/>
  <c r="V144" i="10"/>
  <c r="Y144" i="10"/>
  <c r="L239" i="10" l="1"/>
  <c r="M144" i="10"/>
  <c r="K145" i="10" s="1"/>
  <c r="M239" i="10"/>
  <c r="L145" i="10"/>
  <c r="M145" i="10" l="1"/>
  <c r="P146" i="10"/>
  <c r="U146" i="10"/>
  <c r="Q146" i="10"/>
  <c r="Y146" i="10"/>
  <c r="V146" i="10"/>
  <c r="X146" i="10"/>
  <c r="W146" i="10"/>
  <c r="T146" i="10"/>
  <c r="S146" i="10"/>
  <c r="R146" i="10"/>
  <c r="Q240" i="10"/>
  <c r="S240" i="10"/>
  <c r="R240" i="10"/>
  <c r="X240" i="10"/>
  <c r="T240" i="10"/>
  <c r="P240" i="10"/>
  <c r="U240" i="10"/>
  <c r="W240" i="10"/>
  <c r="Y240" i="10"/>
  <c r="V240" i="10"/>
  <c r="M240" i="10" l="1"/>
  <c r="M146" i="10"/>
  <c r="K147" i="10" l="1"/>
  <c r="L147" i="10"/>
  <c r="K241" i="10"/>
  <c r="L241" i="10"/>
  <c r="M241" i="10" l="1"/>
  <c r="M147" i="10"/>
  <c r="Y148" i="10" l="1"/>
  <c r="S148" i="10"/>
  <c r="P148" i="10"/>
  <c r="W148" i="10"/>
  <c r="X148" i="10"/>
  <c r="T148" i="10"/>
  <c r="V148" i="10"/>
  <c r="U148" i="10"/>
  <c r="R148" i="10"/>
  <c r="Q148" i="10"/>
  <c r="V242" i="10"/>
  <c r="Q242" i="10"/>
  <c r="S242" i="10"/>
  <c r="R242" i="10"/>
  <c r="T242" i="10"/>
  <c r="P242" i="10"/>
  <c r="U242" i="10"/>
  <c r="X242" i="10"/>
  <c r="W242" i="10"/>
  <c r="Y242" i="10"/>
  <c r="M148" i="10" l="1"/>
  <c r="M242" i="10"/>
  <c r="K243" i="10" l="1"/>
  <c r="L243" i="10"/>
  <c r="K149" i="10"/>
  <c r="L149" i="10"/>
  <c r="M149" i="10" l="1"/>
  <c r="M243" i="10"/>
  <c r="X244" i="10" l="1"/>
  <c r="Q244" i="10"/>
  <c r="S244" i="10"/>
  <c r="R244" i="10"/>
  <c r="T244" i="10"/>
  <c r="P244" i="10"/>
  <c r="V244" i="10"/>
  <c r="Y244" i="10"/>
  <c r="W244" i="10"/>
  <c r="U244" i="10"/>
  <c r="W150" i="10"/>
  <c r="X150" i="10"/>
  <c r="Q150" i="10"/>
  <c r="U150" i="10"/>
  <c r="V150" i="10"/>
  <c r="R150" i="10"/>
  <c r="Y150" i="10"/>
  <c r="T150" i="10"/>
  <c r="S150" i="10"/>
  <c r="P150" i="10"/>
  <c r="M244" i="10" l="1"/>
  <c r="M150" i="10"/>
  <c r="K151" i="10" l="1"/>
  <c r="L151" i="10"/>
  <c r="K245" i="10"/>
  <c r="L245" i="10"/>
  <c r="M245" i="10" l="1"/>
  <c r="M151" i="10"/>
  <c r="Q152" i="10" l="1"/>
  <c r="W152" i="10"/>
  <c r="U152" i="10"/>
  <c r="V152" i="10"/>
  <c r="X152" i="10"/>
  <c r="S152" i="10"/>
  <c r="T152" i="10"/>
  <c r="P152" i="10"/>
  <c r="R152" i="10"/>
  <c r="Y152" i="10"/>
  <c r="U246" i="10"/>
  <c r="X246" i="10"/>
  <c r="Q246" i="10"/>
  <c r="S246" i="10"/>
  <c r="R246" i="10"/>
  <c r="V246" i="10"/>
  <c r="P246" i="10"/>
  <c r="W246" i="10"/>
  <c r="T246" i="10"/>
  <c r="Y246" i="10"/>
  <c r="M152" i="10" l="1"/>
  <c r="M246" i="10"/>
  <c r="K247" i="10" l="1"/>
  <c r="L247" i="10"/>
  <c r="K153" i="10"/>
  <c r="L153" i="10"/>
  <c r="M153" i="10" l="1"/>
  <c r="U154" i="10" s="1"/>
  <c r="M247" i="10"/>
  <c r="P154" i="10" l="1"/>
  <c r="W154" i="10"/>
  <c r="R154" i="10"/>
  <c r="X154" i="10"/>
  <c r="Q154" i="10"/>
  <c r="V154" i="10"/>
  <c r="T154" i="10"/>
  <c r="Y154" i="10"/>
  <c r="S154" i="10"/>
  <c r="S248" i="10"/>
  <c r="X248" i="10"/>
  <c r="Q248" i="10"/>
  <c r="U248" i="10"/>
  <c r="T248" i="10"/>
  <c r="V248" i="10"/>
  <c r="W248" i="10"/>
  <c r="P248" i="10"/>
  <c r="R248" i="10"/>
  <c r="Y248" i="10"/>
  <c r="M154" i="10" l="1"/>
  <c r="K155" i="10" s="1"/>
  <c r="M248" i="10"/>
  <c r="K249" i="10" s="1"/>
  <c r="L155" i="10" l="1"/>
  <c r="M155" i="10" s="1"/>
  <c r="Y156" i="10" s="1"/>
  <c r="L249" i="10"/>
  <c r="M249" i="10" s="1"/>
  <c r="P156" i="10"/>
  <c r="X156" i="10"/>
  <c r="T156" i="10" l="1"/>
  <c r="W156" i="10"/>
  <c r="R156" i="10"/>
  <c r="Q156" i="10"/>
  <c r="S156" i="10"/>
  <c r="U156" i="10"/>
  <c r="V156" i="10"/>
  <c r="P250" i="10"/>
  <c r="Y250" i="10"/>
  <c r="Q250" i="10"/>
  <c r="X250" i="10"/>
  <c r="S250" i="10"/>
  <c r="U250" i="10"/>
  <c r="T250" i="10"/>
  <c r="V250" i="10"/>
  <c r="W250" i="10"/>
  <c r="R250" i="10"/>
  <c r="M156" i="10" l="1"/>
  <c r="M250" i="10"/>
  <c r="K157" i="10"/>
  <c r="L157" i="10"/>
  <c r="M157" i="10" s="1"/>
  <c r="X158" i="10" l="1"/>
  <c r="W158" i="10"/>
  <c r="U158" i="10"/>
  <c r="P158" i="10"/>
  <c r="Y158" i="10"/>
  <c r="V158" i="10"/>
  <c r="Q158" i="10"/>
  <c r="T158" i="10"/>
  <c r="R158" i="10"/>
  <c r="S158" i="10"/>
  <c r="K251" i="10"/>
  <c r="L251" i="10"/>
  <c r="M158" i="10" l="1"/>
  <c r="M251" i="10"/>
  <c r="Y252" i="10" l="1"/>
  <c r="Q252" i="10"/>
  <c r="P252" i="10"/>
  <c r="X252" i="10"/>
  <c r="S252" i="10"/>
  <c r="U252" i="10"/>
  <c r="T252" i="10"/>
  <c r="W252" i="10"/>
  <c r="V252" i="10"/>
  <c r="R252" i="10"/>
  <c r="K159" i="10"/>
  <c r="L159" i="10"/>
  <c r="M159" i="10" l="1"/>
  <c r="X160" i="10" s="1"/>
  <c r="M56" i="10"/>
  <c r="P56" i="10" s="1"/>
  <c r="P160" i="10"/>
  <c r="M252" i="10"/>
  <c r="V160" i="10" l="1"/>
  <c r="R160" i="10"/>
  <c r="Q160" i="10"/>
  <c r="U160" i="10"/>
  <c r="S160" i="10"/>
  <c r="Y160" i="10"/>
  <c r="W160" i="10"/>
  <c r="T160" i="10"/>
  <c r="K253" i="10"/>
  <c r="L253" i="10"/>
  <c r="M160" i="10" l="1"/>
  <c r="M253" i="10"/>
  <c r="R254" i="10" l="1"/>
  <c r="X254" i="10"/>
  <c r="Q254" i="10"/>
  <c r="Y254" i="10"/>
  <c r="P254" i="10"/>
  <c r="S254" i="10"/>
  <c r="U254" i="10"/>
  <c r="T254" i="10"/>
  <c r="W254" i="10"/>
  <c r="V254" i="10"/>
  <c r="M254" i="10" l="1"/>
  <c r="K255" i="10" l="1"/>
  <c r="L255" i="10"/>
  <c r="M255" i="10" l="1"/>
  <c r="Q256" i="10" l="1"/>
  <c r="P256" i="10"/>
  <c r="V256" i="10"/>
  <c r="T256" i="10"/>
  <c r="U256" i="10"/>
  <c r="R256" i="10"/>
  <c r="S256" i="10"/>
  <c r="X256" i="10"/>
  <c r="Y256" i="10"/>
  <c r="W256" i="10"/>
  <c r="M256" i="10" l="1"/>
  <c r="K257" i="10" l="1"/>
  <c r="L257" i="10"/>
  <c r="M257" i="10" l="1"/>
  <c r="Y258" i="10" l="1"/>
  <c r="Q258" i="10"/>
  <c r="T258" i="10"/>
  <c r="R258" i="10"/>
  <c r="X258" i="10"/>
  <c r="S258" i="10"/>
  <c r="P258" i="10"/>
  <c r="V258" i="10"/>
  <c r="W258" i="10"/>
  <c r="U258" i="10"/>
  <c r="M258" i="10" l="1"/>
  <c r="K259" i="10" l="1"/>
  <c r="L259" i="10"/>
  <c r="M259" i="10" s="1"/>
  <c r="M58" i="10" l="1"/>
  <c r="R260" i="10"/>
  <c r="W260" i="10"/>
  <c r="Y260" i="10"/>
  <c r="U260" i="10"/>
  <c r="X260" i="10"/>
  <c r="T260" i="10"/>
  <c r="S260" i="10"/>
  <c r="P260" i="10"/>
  <c r="V260" i="10"/>
  <c r="Q260" i="10"/>
  <c r="M260" i="10" l="1"/>
</calcChain>
</file>

<file path=xl/sharedStrings.xml><?xml version="1.0" encoding="utf-8"?>
<sst xmlns="http://schemas.openxmlformats.org/spreadsheetml/2006/main" count="694" uniqueCount="411">
  <si>
    <t>Финмодель инвестиционного проекта</t>
  </si>
  <si>
    <t>Укрупненная схема с инвестиционным анализом</t>
  </si>
  <si>
    <t>Показатель</t>
  </si>
  <si>
    <t>ед.изм.</t>
  </si>
  <si>
    <t>итого</t>
  </si>
  <si>
    <t>дата старта проекта</t>
  </si>
  <si>
    <t>тыс.руб.</t>
  </si>
  <si>
    <t>принцип ежемесячного распределения капитальных затрат</t>
  </si>
  <si>
    <t>май</t>
  </si>
  <si>
    <t>список</t>
  </si>
  <si>
    <t>№ мес</t>
  </si>
  <si>
    <t>%</t>
  </si>
  <si>
    <t>лет</t>
  </si>
  <si>
    <t>руб.</t>
  </si>
  <si>
    <t>начальные капитальные затраты на производственную инфраструктуру</t>
  </si>
  <si>
    <t>количество лет амортизации производственных объектов</t>
  </si>
  <si>
    <t>целевой процент собственного рынка сбыта</t>
  </si>
  <si>
    <t>Структурные характеристики модели</t>
  </si>
  <si>
    <t>коммуникация</t>
  </si>
  <si>
    <t>Ошибка!</t>
  </si>
  <si>
    <t>Регион: РФ</t>
  </si>
  <si>
    <t>дата из списка</t>
  </si>
  <si>
    <t>^</t>
  </si>
  <si>
    <t>KPI</t>
  </si>
  <si>
    <t>равномерно с…по…</t>
  </si>
  <si>
    <t>равномерно по году</t>
  </si>
  <si>
    <t>вручную</t>
  </si>
  <si>
    <t>мес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</si>
  <si>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</si>
  <si>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</si>
  <si>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</si>
  <si>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</si>
  <si>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</si>
  <si>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</si>
  <si>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</si>
  <si>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</si>
  <si>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</si>
  <si>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</si>
  <si>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</si>
  <si>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контроль</t>
  </si>
  <si>
    <t>номер первого месяца равномерного распределения начальных кап. затрат</t>
  </si>
  <si>
    <t>номер последнего месяца равномерного распределения начальных кап. затрат</t>
  </si>
  <si>
    <t>процентное ежемесячное распределение начальных кап. затрат</t>
  </si>
  <si>
    <t>ежемесячное распределение начальных кап. затрат</t>
  </si>
  <si>
    <t>номер месяца ввода в эксплуатацию объектов начальных кап. затрат</t>
  </si>
  <si>
    <t>месяц ввода в эксплуатацию объектов начальных кап. затрат</t>
  </si>
  <si>
    <t>0/1</t>
  </si>
  <si>
    <t>ввод в эксплуатацию объектов начальных кап. затрат</t>
  </si>
  <si>
    <t>обратное распределение амортизации</t>
  </si>
  <si>
    <t>максимальный выпуск готовой продукции (ГП) в месяц (выработка)</t>
  </si>
  <si>
    <t>объем собств. склада сырья и материалов в % от максимальной выработки в мес.</t>
  </si>
  <si>
    <t>объем собственного склада ГП в % от максимальной выработки в месяц</t>
  </si>
  <si>
    <t>емкость рынка сбыта ГП в регионе продаж</t>
  </si>
  <si>
    <t>потенц. клиенты</t>
  </si>
  <si>
    <t>среднее количество проданных единиц ГП одному клиенту в месяц</t>
  </si>
  <si>
    <t>ед. ГП</t>
  </si>
  <si>
    <t>целевой ежегодный план продаж в количестве ГП</t>
  </si>
  <si>
    <t>процентное ежемесячное распределение продаж в количестве ГП</t>
  </si>
  <si>
    <t>план продаж в количестве ГП</t>
  </si>
  <si>
    <t>целевой период оборачиваемости ГП в продажах ГП</t>
  </si>
  <si>
    <t>дни</t>
  </si>
  <si>
    <t>запасы ГП в количестве единиц продукции на конец периода</t>
  </si>
  <si>
    <t>производство ГП в количестве единиц ГП</t>
  </si>
  <si>
    <t>запасы СиМ в количестве единиц ГП на конец периода</t>
  </si>
  <si>
    <t>закупка СиМ в количестве единиц ГП</t>
  </si>
  <si>
    <t>целевой период оборачиваемости сырья и материалов (СиМ) в производстве ГП</t>
  </si>
  <si>
    <t>себестоимость (стоимость СиМ) на начало периода единицы ГП</t>
  </si>
  <si>
    <t>ожидаемая инфляция в разрезе себестоимости ГП</t>
  </si>
  <si>
    <t>себестоимость (стоимость СиМ) единицы ГП</t>
  </si>
  <si>
    <t>бюджет закупок СиМ</t>
  </si>
  <si>
    <t>%-нт скидки от поставщиков СиМ при превышении предельного объема закупки</t>
  </si>
  <si>
    <t>предельный ежемесячный объем закупки СиМ для скидки от поставщиков</t>
  </si>
  <si>
    <t>себестоимость (стоимость СиМ) единицы ГП без учета скидок</t>
  </si>
  <si>
    <t>%-нт скидки от поставщиков СиМ</t>
  </si>
  <si>
    <t>бюджет продаж ГП</t>
  </si>
  <si>
    <t>стоимость продажи единицы ГП</t>
  </si>
  <si>
    <t>торговая наценка к себестоимости ГП без учета скидок</t>
  </si>
  <si>
    <t>%-нт кап. затрат на масштабирование производства от начальных кап. затрат</t>
  </si>
  <si>
    <t>ожидаемая инфляция в разрезе кап. затрат на масштабирование производства</t>
  </si>
  <si>
    <t>месяц и коэффициент масштабирования производства</t>
  </si>
  <si>
    <t>коэфф</t>
  </si>
  <si>
    <t>амортизация начальных кап. затрат</t>
  </si>
  <si>
    <t>начало и %-нт кап. затрат на масштабирование производства</t>
  </si>
  <si>
    <t>расчет срока ввода в эксплуатацию производства</t>
  </si>
  <si>
    <t>обратное распределение начальных кап. затрат</t>
  </si>
  <si>
    <t>капитальные затраты на масштабирование производства</t>
  </si>
  <si>
    <t>процентное ежемесячное распределение инфляции по себестоимости ГП</t>
  </si>
  <si>
    <t>обратное распределение ввода в эксплуатацию кап. затрат</t>
  </si>
  <si>
    <t>ввод в эксплуатацию объектов масштабирования производства</t>
  </si>
  <si>
    <t>обратное распределение амортизации кап. затрат</t>
  </si>
  <si>
    <t>амортизация кап. затрат на масштабирование производства</t>
  </si>
  <si>
    <t>максимальная емкость склада СиМ в единицах ГП</t>
  </si>
  <si>
    <t>максимальная емкость склада ГП в единицах ГП</t>
  </si>
  <si>
    <t>доля расходов на аутсорсинг склада СиМ от себестоимости ГП</t>
  </si>
  <si>
    <t>доля расходов на аутсорсинг склада ГП от себестоимости ГП</t>
  </si>
  <si>
    <t>расходы на аутсорсинг склада СиМ</t>
  </si>
  <si>
    <t>расходы на аутсорсинг склада ГП</t>
  </si>
  <si>
    <t>постоянные расходы на ТО производства</t>
  </si>
  <si>
    <t>переменные расходы на ТО производства</t>
  </si>
  <si>
    <t>постоянные коммунальные расходы производства</t>
  </si>
  <si>
    <t>переменные коммунальные расходы производства</t>
  </si>
  <si>
    <t>прочие постоянные производственные расходы</t>
  </si>
  <si>
    <t>прочие переменные производственные расходы</t>
  </si>
  <si>
    <t>емкость 1-ого транспортного средства (ТС) исходящей логистики в единицах ГП</t>
  </si>
  <si>
    <t>ожидаемая инфляция в разрезе аутсорсинга исходящей логистики</t>
  </si>
  <si>
    <t>расходы аутсорсинга исходящей логистики на одно ТС</t>
  </si>
  <si>
    <t>расходы на аутсорсинг исходящей логистики</t>
  </si>
  <si>
    <t>%-нт маркетинговых расходов от продаж ГП</t>
  </si>
  <si>
    <t>доля постоянных расходов на ТО производства от кап. затрат</t>
  </si>
  <si>
    <t>доля переменных расходов на ТО производства от производства ГП</t>
  </si>
  <si>
    <t>доля переменных коммунальных расходов пр-ва от производства ГП</t>
  </si>
  <si>
    <t>доля постоянных коммунальных расходов пр-ва от кап. затрат</t>
  </si>
  <si>
    <t>доля прочих постоянных расходов производства от кап. затрат</t>
  </si>
  <si>
    <t>доля прочих переменных расходов пр-ва от производства ГП</t>
  </si>
  <si>
    <t>количество постоянного производственного персонала на один произв. модуль</t>
  </si>
  <si>
    <t>чел</t>
  </si>
  <si>
    <t>индексация ФОТ</t>
  </si>
  <si>
    <t>постоянный ФОТ производственного персонала</t>
  </si>
  <si>
    <t>%-нт пр-ва ГП от максим. выработки для переменного произв-ого персонала</t>
  </si>
  <si>
    <t>кол-во переменного произв-ого персонала на каждый заданный %-нт пр-ва ГП</t>
  </si>
  <si>
    <t>переменный ФОТ производственного персонала</t>
  </si>
  <si>
    <t>средний ежемес. ФОТ одного постоянного производственного сотрудника</t>
  </si>
  <si>
    <t>средний ежемес. ФОТ одного переменного производственного сотрудника</t>
  </si>
  <si>
    <t>количество постоянного персонала склада СиМ на один произв. модуль</t>
  </si>
  <si>
    <t>средний ежемес. ФОТ одного постоянного сотрудника склада СиМ</t>
  </si>
  <si>
    <t>постоянный ФОТ персонала склада СиМ</t>
  </si>
  <si>
    <t>средний ежемес. ФОТ одного переменного сотрудника склада СиМ</t>
  </si>
  <si>
    <t>переменный ФОТ персонала склада СиМ</t>
  </si>
  <si>
    <t>кол-во закупки СиМ в ед. ГП на 1-ого переменного сотрудника склада СиМ в мес.</t>
  </si>
  <si>
    <t>количество постоянного персонала склада ГП на один произв. модуль</t>
  </si>
  <si>
    <t>средний ежемес. ФОТ одного постоянного сотрудника склада ГП</t>
  </si>
  <si>
    <t>постоянный ФОТ персонала склада ГП</t>
  </si>
  <si>
    <t>кол-во произв-ва ед. ГП на 1-ого переменного сотрудника склада ГП в мес.</t>
  </si>
  <si>
    <t>средний ежемес. ФОТ одного переменного сотрудника склада ГП</t>
  </si>
  <si>
    <t>переменный ФОТ персонала склада ГП</t>
  </si>
  <si>
    <t>количество топ-менеджеров</t>
  </si>
  <si>
    <t>средний ежемес. ФОТ одного топ-менеджера</t>
  </si>
  <si>
    <t>ФОТ топ-менеджеров</t>
  </si>
  <si>
    <t>количество менеджеров по продажам для одного производственного модуля</t>
  </si>
  <si>
    <t>средний ежемес. ФОТ одного менеджера по продажам</t>
  </si>
  <si>
    <t>ФОТ отдела продаж</t>
  </si>
  <si>
    <t>прочий постоянный управленческий персонал</t>
  </si>
  <si>
    <t>средний ежемес. ФОТ одного сотрудника прочего управленческого персонала</t>
  </si>
  <si>
    <t>ФОТ прочего управленческого персонала</t>
  </si>
  <si>
    <t>мотивационный ФОТ</t>
  </si>
  <si>
    <t>% мотивационного ФОТ от объема продаж ГП</t>
  </si>
  <si>
    <t>% отчислений в соц. фонды от ФОТ</t>
  </si>
  <si>
    <t>ФОТ</t>
  </si>
  <si>
    <t>административные, накладные и хоз. (АНХ) расходы на 1-ого шт. сотрудника</t>
  </si>
  <si>
    <t>количество штатных сотрудников</t>
  </si>
  <si>
    <t>количество штатных операционных сотрудников</t>
  </si>
  <si>
    <t>количество штатных управленческих сотрудников</t>
  </si>
  <si>
    <t>АНХ расходы</t>
  </si>
  <si>
    <t>Выручка</t>
  </si>
  <si>
    <t>Себестоимость</t>
  </si>
  <si>
    <t>Валовая прибыль</t>
  </si>
  <si>
    <t>Переменные расходы</t>
  </si>
  <si>
    <t>Постоянные расходы</t>
  </si>
  <si>
    <t>Переменные производственные расходы</t>
  </si>
  <si>
    <t>Переменные расходы логистики</t>
  </si>
  <si>
    <t>Переменный ФОТ</t>
  </si>
  <si>
    <t>Маркетинговые расходы</t>
  </si>
  <si>
    <t>Отчисления в соц. фонды</t>
  </si>
  <si>
    <t>Постоянные производственные расходы</t>
  </si>
  <si>
    <t>Постоянный ФОТ</t>
  </si>
  <si>
    <t>Маржинальная прибыль</t>
  </si>
  <si>
    <t>EBITDA - прибыль от собственной операц. деят-ти</t>
  </si>
  <si>
    <t>Амортизация</t>
  </si>
  <si>
    <t>EBIT - прибыль до учета %-тов и налога на прибыль</t>
  </si>
  <si>
    <t>Незавершенные кап. вложения на конец периода</t>
  </si>
  <si>
    <t>Основные средства на конец периода</t>
  </si>
  <si>
    <t>Амортизация на конец периода</t>
  </si>
  <si>
    <t>Внеоборотные активы на конец периода</t>
  </si>
  <si>
    <t>Ставка дисконтирования финансового потока</t>
  </si>
  <si>
    <t>период оборач-ти кред. задолж-ти перед подрядчиками по кап. затратам</t>
  </si>
  <si>
    <t>Кред. задолж-ть перед подрядчиками по кап. затратам на конец периода</t>
  </si>
  <si>
    <t>Оплата подрядчикам по кап. затратам</t>
  </si>
  <si>
    <t>Инвестиционные вложения</t>
  </si>
  <si>
    <t>Долгосрочная кредиторская задолженность по %-там на конец периода</t>
  </si>
  <si>
    <t>Долгосрочная кред. задолж-ть по возврату инвестиций на конец периода</t>
  </si>
  <si>
    <t>Ставка налога на прибыль</t>
  </si>
  <si>
    <t>Налог на прибыль</t>
  </si>
  <si>
    <t>период оборач-ти кред. задолж-ти перед поставщиками СиМ</t>
  </si>
  <si>
    <t>Кред. задолж-ть перед поставщиками СиМ на конец периода</t>
  </si>
  <si>
    <t>Оплата поставщикам СиМ</t>
  </si>
  <si>
    <t>Производственные расходы</t>
  </si>
  <si>
    <t>период оборач-ти кред. задолж-ти по производственным расходам</t>
  </si>
  <si>
    <t>Оплата производственных расходов</t>
  </si>
  <si>
    <t>Кред. задолж-ть по производственным расходам на конец периода</t>
  </si>
  <si>
    <t>Расходы логистики</t>
  </si>
  <si>
    <t>период оборач-ти кред. задолж-ти по расходам логистики</t>
  </si>
  <si>
    <t>Кред. задолж-ть по расходам логистики на конец периода</t>
  </si>
  <si>
    <t>Оплата расходов логистики</t>
  </si>
  <si>
    <t>период оборач-ти кред. задолж-ти по маркетинговым расходам</t>
  </si>
  <si>
    <t>Кред. задолж-ть по маркетинговым расходам на конец периода</t>
  </si>
  <si>
    <t>Оплата маркетинговых расходов</t>
  </si>
  <si>
    <t>период оборач-ти кред. задолж-ти перед персоналом</t>
  </si>
  <si>
    <t>Выплата ФОТ персоналу</t>
  </si>
  <si>
    <t>период оборач-ти кред. задолж-ти по отчислениям в соц. фонды</t>
  </si>
  <si>
    <t>Кред. задолж-ть перед персоналом по ФОТ на конец периода</t>
  </si>
  <si>
    <t>Кред. задолж-ть перед внебюджетными фондами на конец периода</t>
  </si>
  <si>
    <t>Оплата соц. сборов</t>
  </si>
  <si>
    <t>период оборач-ти кред. задолж-ти по АНХ расходам</t>
  </si>
  <si>
    <t>Кред. задолж-ть по АНХ расходам на конец периода</t>
  </si>
  <si>
    <t>Оплата АНХ расходов</t>
  </si>
  <si>
    <t>период оборач-ти дебиторской задолж-ти клиентов</t>
  </si>
  <si>
    <t>Дебиторская задолженность клиентов по оплате на конец периодов</t>
  </si>
  <si>
    <t>Поступление выручки от клиентов</t>
  </si>
  <si>
    <t>Финансовый поток по операционной деятельности</t>
  </si>
  <si>
    <t>Остаток денежных средств на конец периода по операц. деят-ти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</si>
  <si>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</si>
  <si>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</si>
  <si>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</si>
  <si>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</si>
  <si>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</si>
  <si>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Остаток ДС с учетом овердрафта на конец периода</t>
  </si>
  <si>
    <t>Процентная ставка по овердрафту на пополнение оборотных средств</t>
  </si>
  <si>
    <t>Начислено процентов по овердрафту на конец периода</t>
  </si>
  <si>
    <t>Начислено процентов по овердрафту за период</t>
  </si>
  <si>
    <t>расходы на ТО производства</t>
  </si>
  <si>
    <t>коммунальные расходы производства</t>
  </si>
  <si>
    <t>прочие расходы производства</t>
  </si>
  <si>
    <t>Начисление процентов по овердрафту</t>
  </si>
  <si>
    <t>Операционные расходы</t>
  </si>
  <si>
    <t>Поступления ДС по операционной деятельности</t>
  </si>
  <si>
    <t>Отток ДС по операционной деятельности</t>
  </si>
  <si>
    <t>Финансовый поток по финансовой деятельности</t>
  </si>
  <si>
    <t>Отток ДС по финансовой деятельности</t>
  </si>
  <si>
    <t>Поступления ДС по финансовой деятельности</t>
  </si>
  <si>
    <t>Оплата процентов по овердрафту</t>
  </si>
  <si>
    <t>Финансовый поток по инвестиционной деятельности</t>
  </si>
  <si>
    <t>Поступления ДС по инвестиционной деятельности</t>
  </si>
  <si>
    <t>Отток ДС по инвестиционной деятельности</t>
  </si>
  <si>
    <t>Финансовый поток - итого</t>
  </si>
  <si>
    <t>Поступления ДС - итого</t>
  </si>
  <si>
    <t>Отток ДС - итого</t>
  </si>
  <si>
    <t>Остаток ДС на начало периода</t>
  </si>
  <si>
    <t>Остаток ДС на конец периода</t>
  </si>
  <si>
    <t>АКТИВЫ на конец периода</t>
  </si>
  <si>
    <t>ВНЕОБОРОТНЫЕ АКТИВЫ</t>
  </si>
  <si>
    <t>ОБОРОТНЫЕ АКТИВЫ</t>
  </si>
  <si>
    <t>себестоимость едининицы произведенной ГП</t>
  </si>
  <si>
    <t>себестоимость произведенной ГП</t>
  </si>
  <si>
    <t>себестоимость продаж ГП</t>
  </si>
  <si>
    <t>себестоимость одной проданной единицы ГП</t>
  </si>
  <si>
    <t>Запасы сырья и материалов на конец периода</t>
  </si>
  <si>
    <t>Запасы готовой продукции на конец периода</t>
  </si>
  <si>
    <t>Дебиторская задолженность</t>
  </si>
  <si>
    <t>ПАССИВЫ на конец периода</t>
  </si>
  <si>
    <t>СОБСТВЕННЫЙ КАПИТАЛ</t>
  </si>
  <si>
    <t>ДОЛГОСРОЧНАЯ КРЕДИТОРСКАЯ ЗАДОЛЖЕННОСТЬ</t>
  </si>
  <si>
    <t>КЗ по инвестициям</t>
  </si>
  <si>
    <t>КЗ по %-там по инвестициям</t>
  </si>
  <si>
    <t>КРАТКОСРОЧНАЯ КРЕДИТОРСКАЯ ЗАДОЛЖЕННОСТЬ</t>
  </si>
  <si>
    <t>КЗ по овердрафту</t>
  </si>
  <si>
    <t>КЗ по %-там по овердрафту</t>
  </si>
  <si>
    <t>КЗ перед подрядчиками по кап. затратам</t>
  </si>
  <si>
    <t>КЗ перед поставщиками сырья и материалов</t>
  </si>
  <si>
    <t>КЗ по производственным расходам</t>
  </si>
  <si>
    <t>КЗ по расходам логистики</t>
  </si>
  <si>
    <t>КЗ по маркетинговым расходам</t>
  </si>
  <si>
    <t>КЗ перед персоналом по ФОТ</t>
  </si>
  <si>
    <t>КЗ перед внебюджетными фондами</t>
  </si>
  <si>
    <t>КЗ по АНХ расходам</t>
  </si>
  <si>
    <t>БАЛАНС-контроль (активы - пассивы)</t>
  </si>
  <si>
    <t>Ставка НДС</t>
  </si>
  <si>
    <t>Ставка налога на имущество</t>
  </si>
  <si>
    <t>Доля ОС, облагаемая налогом на имущество</t>
  </si>
  <si>
    <t>Налог на имущество</t>
  </si>
  <si>
    <t>КЗ по налогу на имущество</t>
  </si>
  <si>
    <t>Оплата налога на имущество</t>
  </si>
  <si>
    <t>КЗ по налогу на прибыль</t>
  </si>
  <si>
    <t>Оплата налога на прибыль</t>
  </si>
  <si>
    <t>расчет НДС</t>
  </si>
  <si>
    <t>возмещение НДС</t>
  </si>
  <si>
    <t>оплата НДС</t>
  </si>
  <si>
    <t>НДС к возмещению</t>
  </si>
  <si>
    <t>КЗ по НДС</t>
  </si>
  <si>
    <t>NPV</t>
  </si>
  <si>
    <t>коэффициент дисконтирования</t>
  </si>
  <si>
    <t>NPV притока ДС (CFIn)</t>
  </si>
  <si>
    <t>NPV оттока ДС (CFOut)</t>
  </si>
  <si>
    <t>NPV потока ДС (CF)</t>
  </si>
  <si>
    <t>NPV инвестиционных вложений (Inv)</t>
  </si>
  <si>
    <t>Возврат инвестиций</t>
  </si>
  <si>
    <t>PP - период окупаемости</t>
  </si>
  <si>
    <t>CF по операц. деят-ти после PP</t>
  </si>
  <si>
    <t>NPV среднего CF по операц. деят-ти после PP</t>
  </si>
  <si>
    <t>NPV CF после инвестиционного периода</t>
  </si>
  <si>
    <t>PI инвестиционного периода</t>
  </si>
  <si>
    <t>NPV полный</t>
  </si>
  <si>
    <t>PI полный</t>
  </si>
  <si>
    <t>NOPAT до учета налога на прибыль</t>
  </si>
  <si>
    <t>EVA - экономическая добавленная стоимость</t>
  </si>
  <si>
    <t>ROI инвестиционного периода</t>
  </si>
  <si>
    <t>ROI полный</t>
  </si>
  <si>
    <t>NPV(CF, полный) - NPV(Inv)</t>
  </si>
  <si>
    <t>Начисление %WACC по инвестициям</t>
  </si>
  <si>
    <t>Процентная ставка (WACC) инвестиционного кредитования</t>
  </si>
  <si>
    <t>NOPAT - "чистая прибыль"</t>
  </si>
  <si>
    <t>в заданном периоде инвестиции не возвращаются (в полном объеме)!</t>
  </si>
  <si>
    <t>в заданном периоде нет ставки IRR&gt;0%</t>
  </si>
  <si>
    <t>NPV = NPV(CF) - NPV(Inv)</t>
  </si>
  <si>
    <t>NPV с нулевым дисконтом</t>
  </si>
  <si>
    <t>Расчет внутренней нормы доходности IRR</t>
  </si>
  <si>
    <t>Расчет внутренней нормы доходности IRR:</t>
  </si>
  <si>
    <t>Средняя ставка дисконтирования проекта</t>
  </si>
  <si>
    <t>IRR - внутренняя норма доходности</t>
  </si>
  <si>
    <t>Расчет средней ставки дисконтирования проекта</t>
  </si>
  <si>
    <t>Финансовый поток при нулевом дисконтировании</t>
  </si>
  <si>
    <t>Юр/лица: одно юр/лицо + Инвестор</t>
  </si>
  <si>
    <t>ОГЛАВЛЕНИЕ И НАВИГАЦИЯ ПО МОДЕЛИ</t>
  </si>
  <si>
    <t>НАЧАЛЬНЫЕ УСЛОВИЯ ИНВЕСТМОДЕЛИ</t>
  </si>
  <si>
    <t>-  поля для внесения исходных данных инвестмодели</t>
  </si>
  <si>
    <t>NPV-АНАЛИЗ ИНВЕСТМОДЕЛИ</t>
  </si>
  <si>
    <t>МАРЖИНАЛЬНЫЙ P&amp;L (отчет о прибылях и убытках)</t>
  </si>
  <si>
    <t>ФУНКЦИОНАЛЬНЫЙ P&amp;L (отчет о прибылях и убытках)</t>
  </si>
  <si>
    <t>CASH FLOW (отчет о движении денежных средств, ДДС)</t>
  </si>
  <si>
    <t>БАЛАНС ИНВЕСТПРОЕКТА</t>
  </si>
  <si>
    <t>Показатели (KPI) экономики инвестпроекта</t>
  </si>
  <si>
    <t>Ежемесячные расчеты инвестмодели</t>
  </si>
  <si>
    <t>оглавление</t>
  </si>
  <si>
    <t>название раздела</t>
  </si>
  <si>
    <t>вкладка</t>
  </si>
  <si>
    <t>содержание раздела/вкладки</t>
  </si>
  <si>
    <t>условия</t>
  </si>
  <si>
    <t>здесь вносятся вручную все начальные параметры инвестмодели</t>
  </si>
  <si>
    <t>в ячейки, перед которыми стоит "красная звездочка"</t>
  </si>
  <si>
    <t>здесь производится расчет основных показателей инвестиционного</t>
  </si>
  <si>
    <t>анализа результатов моделирования, таких как:</t>
  </si>
  <si>
    <t>PL_m</t>
  </si>
  <si>
    <t>PL_f</t>
  </si>
  <si>
    <t>здесь производится формирование маржинального</t>
  </si>
  <si>
    <t>отчета о прибылях и убытках инвестпроекта</t>
  </si>
  <si>
    <t>здесь производится формирование функционального</t>
  </si>
  <si>
    <t>CF</t>
  </si>
  <si>
    <t>здесь производится формирование Cash Flow</t>
  </si>
  <si>
    <t>отчета о движении денежных средств инвестпроекта</t>
  </si>
  <si>
    <t>BS</t>
  </si>
  <si>
    <t>здесь производится формирование Balance Sheet</t>
  </si>
  <si>
    <t>прогнозного баланса инвестпроекта и балансового контроля</t>
  </si>
  <si>
    <t>каждый показатель вносится сюда вручную один раз,</t>
  </si>
  <si>
    <t>после чего в любом другом месте файла он отображается</t>
  </si>
  <si>
    <t>здесь формируется список всех показателей инвестпроекта,</t>
  </si>
  <si>
    <t>в виде ссылки на соответствующую ячейку этой вкладки</t>
  </si>
  <si>
    <t>структура</t>
  </si>
  <si>
    <t>техническая вкладка для коммуникации</t>
  </si>
  <si>
    <t>monthly</t>
  </si>
  <si>
    <t>функциональная вкладка с основными расчетами инвестмодели</t>
  </si>
  <si>
    <t>перемещайтесь с использованием гиперссылок!</t>
  </si>
  <si>
    <t>+7(985)201-6607</t>
  </si>
  <si>
    <t>Базовая версия с методологией</t>
  </si>
  <si>
    <t>МЕТОДОЛОГИЯ МОДЕЛИ</t>
  </si>
  <si>
    <t>Входящие параметры финансовой модели</t>
  </si>
  <si>
    <t>-</t>
  </si>
  <si>
    <t>Ячейки с выпадающим списком возможных значений</t>
  </si>
  <si>
    <t>Ячейки с внесением "любых" цифровых данных вручную</t>
  </si>
  <si>
    <t>Данные ячейки принимают оранжевую заливку, если они пустые</t>
  </si>
  <si>
    <t>*</t>
  </si>
  <si>
    <t>Предлагается внести данные в поле справа от "красной звездочки"</t>
  </si>
  <si>
    <r>
      <t xml:space="preserve">В случае если при внесении изменений в исходные данные ничего не меняется в отчетах, то возможно у Вас в настройках включен ручной режим пересчета формул. В этом случае либо нажмите </t>
    </r>
    <r>
      <rPr>
        <b/>
        <sz val="9"/>
        <color rgb="FFFF0000"/>
        <rFont val="Arial"/>
        <family val="2"/>
        <charset val="204"/>
      </rPr>
      <t>"F9</t>
    </r>
    <r>
      <rPr>
        <sz val="9"/>
        <color rgb="FFFF0000"/>
        <rFont val="Arial"/>
        <family val="2"/>
        <charset val="204"/>
      </rPr>
      <t>", либо включите режим автоматического пересчета формул!</t>
    </r>
  </si>
  <si>
    <t>Вкладка:</t>
  </si>
  <si>
    <t>Ячейка:</t>
  </si>
  <si>
    <t>M11</t>
  </si>
  <si>
    <t>Из выпадающего списка задается дата начала инвестпроекта</t>
  </si>
  <si>
    <r>
      <t xml:space="preserve">В ячейке M11 из выпадающего списка значений ячеек D11-D18 вкладки "структура" необходимо выбрать дату начала проекта, которая в данной модели является 1-ым января выбираемого года. Настоящая модель рассчитана на </t>
    </r>
    <r>
      <rPr>
        <b/>
        <sz val="9"/>
        <color theme="1"/>
        <rFont val="Arial"/>
        <family val="2"/>
        <charset val="204"/>
      </rPr>
      <t>10 лет</t>
    </r>
    <r>
      <rPr>
        <sz val="9"/>
        <color theme="1"/>
        <rFont val="Arial"/>
        <family val="2"/>
        <charset val="204"/>
      </rPr>
      <t xml:space="preserve"> (столбцы T-AC) с даты выбранной в ячейке M11.</t>
    </r>
  </si>
  <si>
    <t>инвестиции</t>
  </si>
  <si>
    <t>Строки:</t>
  </si>
  <si>
    <t>13-48</t>
  </si>
  <si>
    <t>Задание условий на капитальные затраты для создания 1ого производственного модуля</t>
  </si>
  <si>
    <t>В строке 13 задается общая сумма капзатрат на создание первого производственного модуля для каждого года проекта</t>
  </si>
  <si>
    <t>В ячейке M15 из выпадающего списка значений ячеек G11-G15 вкладки "структура" выбирается метод распределения общих годовых сумм кап/затрат по месяцам каждого года. Возможные значения методов следующие:</t>
  </si>
  <si>
    <t>При выборе этого метода в блоке строк 35-46 автоматически общие суммы из строки 13 равномерно распределяются по месяцам (делятся на 12ть и значение проставляется в каждую ячейку диапазона соответствующего столбца).</t>
  </si>
  <si>
    <t>равномерно с … по …</t>
  </si>
  <si>
    <t>При выборе этого метода в блоке строк 17-18 с использованием выпадающих списков вручную задаются годы начала и завершения равномерного распределения кап/затрат из строки 13, после чего в соответствующих выбранным месяцам ячейках из диапазона строк 35-46 равномерно распределяются суммы кап/затрат.</t>
  </si>
  <si>
    <t>При выборе этого метода в блоке строк 21-32 предлагается вручную задать процентное распределение для каждого года общих сумм кап/затрат из строки 13, после чего в блоке строк с 35 по 46 автоматически появятся соответствующие ежемесячные суммы кап/затрат.</t>
  </si>
  <si>
    <r>
      <t xml:space="preserve">В строке 48 задаются номера месяцев </t>
    </r>
    <r>
      <rPr>
        <b/>
        <sz val="9"/>
        <color theme="1"/>
        <rFont val="Arial"/>
        <family val="2"/>
        <charset val="204"/>
      </rPr>
      <t>ввода объектов кап/затрат в эксплуатацию</t>
    </r>
    <r>
      <rPr>
        <sz val="9"/>
        <color theme="1"/>
        <rFont val="Arial"/>
        <family val="2"/>
        <charset val="204"/>
      </rPr>
      <t>, по умолчанию, если таковые месяцы не заданы, то берется последний месяц с ненулевой суммой капзатрат.</t>
    </r>
  </si>
  <si>
    <r>
      <t xml:space="preserve">В ячейке Q50 пользователю предлагается вручную внести </t>
    </r>
    <r>
      <rPr>
        <b/>
        <sz val="9"/>
        <color theme="1"/>
        <rFont val="Arial"/>
        <family val="2"/>
        <charset val="204"/>
      </rPr>
      <t>количество лет амортизации.</t>
    </r>
  </si>
  <si>
    <t>Q52</t>
  </si>
  <si>
    <t>Задание максимальной выработки готовой продукции (ГП) в месяц</t>
  </si>
  <si>
    <t>Задается производственная мощность одного производственного модуля с точки зрения максимального количества производства ГП в месяц, т.е. если в модели задается план продаж, при котором необходимо произвести больше продукции, чем позволяет производственная мощность в некоторый месяц, то модель автоматически "добавит" создание дополнительного производственного модуля или, другими словами, модель автоматически масштабирует инвестпроект. При масштабировании сумма дополнительных капзатрат задается в строке 106 посредством процентной доли от начальных капзатрат с учетом инфляции, задаваемой в строке 108.</t>
  </si>
  <si>
    <t>Q54</t>
  </si>
  <si>
    <t>Задание максимальной емкости склада ГП</t>
  </si>
  <si>
    <t>Задается %-нт от максимальной выработки ГП одного модуля, который можно разместить на складе готовой продукции. Например, если 0%, то это будет означать, что склада ГП нет. Если по результатам расчета модели, получится, что на складе должно находиться в некий момент времени большее чем указанное количество ГП, то модель автоматически добавит в расходы модели затраты на аутсорсинг склада ГП, стоимость которых задается посредством ячейки Q112.</t>
  </si>
  <si>
    <t>Q56</t>
  </si>
  <si>
    <t>Задание максим. емкости склада сырья и материалов (СиМ)</t>
  </si>
  <si>
    <t>Задается %-нт от себестоимостных сырья и материалов соответствующих максимальной выработке ГП одного модуля, который можно разместить на складе СиМ. Например, если 0%, то это будет означать, что склада СиМ нет. Если по результатам расчета модели, получится, что на складе СиМ должно находиться в некий момент времени большее чем указанное количество СиМ в пересчете на единицы ГП, то модель автоматически добавит в расходы модели затраты на аутсорсинг склада СиМ, стоимость которых задается посредством ячейки Q110.</t>
  </si>
  <si>
    <t>Строки</t>
  </si>
  <si>
    <t>58-62</t>
  </si>
  <si>
    <t>Задание маркетинговых характеристик ГП</t>
  </si>
  <si>
    <t>В строке 58 задается оценка количества потенциальных клиенов - покупателей ГП (например, если это розничная продажа, то кол-во человек), в строке 60 задается целевая доля собственного рынка сбыта. В строке 62 задается частота покупок в месяц одним клиентом, т.е. сколько едининиц ГП один клиент в среднем в месяц покупает.</t>
  </si>
  <si>
    <t>операции</t>
  </si>
  <si>
    <t>Путем перемножения трех указанных выше маркетинговых характеристик, получаем в строке 64 план продаж в натуральных величинах - в количестве единиц готовой продукции.</t>
  </si>
  <si>
    <t>Для проведения ежемесячных рассчетов во вкладке "monthly" в блоке строк Q66-Q77 вкладки "условия" задается долевое помесячное распределение объемов продаж в натуральных величинах - например, если продажи товаров носят сезонный характер.</t>
  </si>
  <si>
    <t>В строках 79 и 81 вносятся данные по целевым периодам оборачиваемости в днях для готовой продукции и сырья и материалов - причем отметим, что это исключительно операционные циклы рассчитываемые относительно натуральных величин, т.е. не финансовые.</t>
  </si>
  <si>
    <t xml:space="preserve">В блоке строк 83-102 задается себестоимость производства продукции с учетом заданной и распределенной по месяцам года инфляции, а также в ячейке Q102 задается %нт скидки при выкупе у поставщиков предельного объем СиМ, который в свою очередь задается в ячейке Q100 в количестве единиц готовой продукции. </t>
  </si>
  <si>
    <t>В строке 104 необходимо задать торговую наценку для каждого года.</t>
  </si>
  <si>
    <t>Сразу заметим, что мы идем не от среднего чека и рентабельности продаж при расчете бюджета продаж, а от торговой наценки.</t>
  </si>
  <si>
    <r>
      <t xml:space="preserve">В результате в строке 45 вкладки "monthly" с использованием расчетов из вкладки "monthly" получаем </t>
    </r>
    <r>
      <rPr>
        <b/>
        <sz val="9"/>
        <color theme="1"/>
        <rFont val="Arial"/>
        <family val="2"/>
        <charset val="204"/>
      </rPr>
      <t>бюджет продаж в деньгах</t>
    </r>
    <r>
      <rPr>
        <sz val="9"/>
        <color theme="1"/>
        <rFont val="Arial"/>
        <family val="2"/>
        <charset val="204"/>
      </rPr>
      <t>, который в свою очередь "перемещается" посредством формул в строку 12"Выручка" отчета о прибылях и убытках во вкладке "PL_m" (с учетом вычета НДС, размер ставки которого задается в строке 182.</t>
    </r>
  </si>
  <si>
    <t>Периоды оборачиваемости задолженностей</t>
  </si>
  <si>
    <t>Для целей расчета операций притока и оттока денежных средств, чтобы корректно посторить CashFlow (ДДС - вкладка "CF") в строках со 192ой по 208ую задаются целевые периоды оборачиваемости в днях дебиторской и кредиторской задолженностей, отражающих договорные финансовые условия с контрагентами по всем рассматриваемым операциям модели.</t>
  </si>
  <si>
    <t>Начиная со 114-ой строки и до 190ой</t>
  </si>
  <si>
    <r>
      <t xml:space="preserve">Начиная со 114-ой строки и до 190-ой во вкладке "условия" необходимо просто читать название показателя и вносить соответствующие исходные данные в ячейки, напротив которых стоит красная звездочка. Здесь вносятся все условия на расходы, номенклатуру которых можно посмотреть во вкладках "PL_m" и "PL_f". </t>
    </r>
    <r>
      <rPr>
        <b/>
        <sz val="9"/>
        <color theme="1"/>
        <rFont val="Arial"/>
        <family val="2"/>
        <charset val="204"/>
      </rPr>
      <t>Также здесь вносятся ставки налогов, дисконтирования и инвестиционного кредитования.</t>
    </r>
  </si>
  <si>
    <t>строка 210</t>
  </si>
  <si>
    <t>Процентная ставка по овердрафту на пополнение оборотных средств используется в расчетах блока строк 187-203 вкладки "monthly", где производятся расчеты привлечения, возврата банковских кредитов в виде овердрафта на пополнение оборотных средств для покрытия текущих кассовых разрывов, также здесь рассчитываются начисления и оплаты процентов по овердрафту. В 201-ой строке вкладки "monthly" рассчитывается итоговый неотрицательный (без кассовых разрывов) финансовый поток накопительным итогом.</t>
  </si>
  <si>
    <r>
      <t xml:space="preserve">В итоговых отчетных вкладках </t>
    </r>
    <r>
      <rPr>
        <b/>
        <sz val="9"/>
        <color rgb="FFC00000"/>
        <rFont val="Arial"/>
        <family val="2"/>
        <charset val="204"/>
      </rPr>
      <t>NPV,PL,CF и BS</t>
    </r>
    <r>
      <rPr>
        <b/>
        <sz val="9"/>
        <color theme="1"/>
        <rFont val="Arial"/>
        <family val="2"/>
        <charset val="204"/>
      </rPr>
      <t xml:space="preserve"> - просто классически с использованием формул представлена отчетная информация по спискам ключевых финансово-экономических и инвестиционных показателей.</t>
    </r>
  </si>
  <si>
    <t>Система KPI</t>
  </si>
  <si>
    <r>
      <t xml:space="preserve">Особенностью данной финмодели является то, что какой бы показатель не встретился пользователю в модели во вкладках, отличных от вкладки "KPI", этот показатель в соответствующей ячейке будет прописан в виде формулы, ссылающейся на вкладку "KPI". Т.е </t>
    </r>
    <r>
      <rPr>
        <b/>
        <sz val="9"/>
        <color rgb="FFC00000"/>
        <rFont val="Arial"/>
        <family val="2"/>
        <charset val="204"/>
      </rPr>
      <t>принцип организации названий показателей в модели такой: один раз мы прописываем показатель во вкладке "KPI", после чего любое его вхождение в модель оформляется в виде формулы на "первое" вхождение во вкладке "KPI"</t>
    </r>
    <r>
      <rPr>
        <sz val="9"/>
        <color theme="1"/>
        <rFont val="Arial"/>
        <family val="2"/>
        <charset val="204"/>
      </rPr>
      <t>. А значит если пользователю не понравится какое-либо из названий того или иного показателя, предложенных автором модели, то его можно поменять во вкладке "KPI" и везде, где в модели этот показатель встречается, его название автоматически поменяется на вновь заданное пользователем.</t>
    </r>
  </si>
  <si>
    <t>ГЛАВНАЯ МЕТОДОЛОГИЧЕСКАЯ ОСОБЕННОСТЬ</t>
  </si>
  <si>
    <t>Теперь, когда Ваше знакомство с моделью произошло, мы сформулируем главную методологическую особенность данной финансовой модели или, так сказать "главную фишку":</t>
  </si>
  <si>
    <t>ВСЕ ПЕРИОДЫ ОБОРАЧИВАЕМОСТИ УЧИТЫВАЮТСЯ ПРЯМЫМ СПОСОБОМ РАСЧЕТА!!! Т.е модель не использует классических расчетов через формулы оборачиваемости, которые приводятся во всех учебниках по финансовому управлению - на нашем сайте mngmnt.ru мы неоднократно приводим примеры практической непригодности данных формул.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</si>
</sst>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.0%"/>
    <numFmt numFmtId="166" formatCode="[$-409]mmm\-yy;@"/>
    <numFmt numFmtId="167" formatCode="#,##0.0"/>
  </numFmts>
  <fonts count="6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5"/>
      <color theme="1" tint="0.34998626667073579"/>
      <name val="Calibri"/>
      <family val="2"/>
      <charset val="204"/>
      <scheme val="minor"/>
    </font>
    <font>
      <sz val="5"/>
      <color theme="0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5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9"/>
      <color theme="3" tint="-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10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b/>
      <sz val="10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9"/>
      <color theme="10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4" tint="-0.499984740745262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5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9" tint="-0.499984740745262"/>
      <name val="Arial"/>
      <family val="2"/>
      <charset val="204"/>
    </font>
    <font>
      <sz val="9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1" fillId="2" borderId="0" xfId="0" applyFont="1" applyFill="1"/>
    <xf numFmtId="3" fontId="2" fillId="2" borderId="1" xfId="0" applyNumberFormat="1" applyFont="1" applyFill="1" applyBorder="1"/>
    <xf numFmtId="3" fontId="1" fillId="2" borderId="3" xfId="0" applyNumberFormat="1" applyFont="1" applyFill="1" applyBorder="1"/>
    <xf numFmtId="165" fontId="2" fillId="2" borderId="1" xfId="0" applyNumberFormat="1" applyFont="1" applyFill="1" applyBorder="1"/>
    <xf numFmtId="165" fontId="1" fillId="2" borderId="1" xfId="0" applyNumberFormat="1" applyFont="1" applyFill="1" applyBorder="1"/>
    <xf numFmtId="0" fontId="3" fillId="2" borderId="0" xfId="0" applyFont="1" applyFill="1"/>
    <xf numFmtId="0" fontId="3" fillId="0" borderId="0" xfId="0" applyFont="1"/>
    <xf numFmtId="3" fontId="3" fillId="2" borderId="0" xfId="0" applyNumberFormat="1" applyFont="1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14" fontId="2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4" borderId="2" xfId="0" applyNumberFormat="1" applyFont="1" applyFill="1" applyBorder="1"/>
    <xf numFmtId="3" fontId="3" fillId="2" borderId="1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/>
    <xf numFmtId="3" fontId="2" fillId="2" borderId="0" xfId="0" applyNumberFormat="1" applyFont="1" applyFill="1"/>
    <xf numFmtId="0" fontId="11" fillId="2" borderId="0" xfId="0" applyFont="1" applyFill="1"/>
    <xf numFmtId="0" fontId="10" fillId="2" borderId="0" xfId="0" applyFont="1" applyFill="1"/>
    <xf numFmtId="3" fontId="11" fillId="2" borderId="0" xfId="0" applyNumberFormat="1" applyFont="1" applyFill="1"/>
    <xf numFmtId="3" fontId="10" fillId="2" borderId="0" xfId="0" applyNumberFormat="1" applyFont="1" applyFill="1"/>
    <xf numFmtId="0" fontId="11" fillId="0" borderId="0" xfId="0" applyFont="1"/>
    <xf numFmtId="166" fontId="2" fillId="4" borderId="0" xfId="0" applyNumberFormat="1" applyFont="1" applyFill="1" applyAlignment="1">
      <alignment horizontal="right"/>
    </xf>
    <xf numFmtId="3" fontId="3" fillId="0" borderId="0" xfId="0" applyNumberFormat="1" applyFont="1"/>
    <xf numFmtId="165" fontId="2" fillId="2" borderId="0" xfId="0" applyNumberFormat="1" applyFont="1" applyFill="1"/>
    <xf numFmtId="0" fontId="12" fillId="2" borderId="0" xfId="0" applyFont="1" applyFill="1"/>
    <xf numFmtId="3" fontId="13" fillId="2" borderId="0" xfId="0" applyNumberFormat="1" applyFont="1" applyFill="1"/>
    <xf numFmtId="0" fontId="12" fillId="0" borderId="0" xfId="0" applyFont="1"/>
    <xf numFmtId="165" fontId="3" fillId="2" borderId="0" xfId="0" applyNumberFormat="1" applyFont="1" applyFill="1"/>
    <xf numFmtId="3" fontId="3" fillId="2" borderId="3" xfId="0" applyNumberFormat="1" applyFont="1" applyFill="1" applyBorder="1"/>
    <xf numFmtId="165" fontId="1" fillId="2" borderId="7" xfId="0" applyNumberFormat="1" applyFont="1" applyFill="1" applyBorder="1"/>
    <xf numFmtId="165" fontId="1" fillId="2" borderId="5" xfId="0" applyNumberFormat="1" applyFont="1" applyFill="1" applyBorder="1"/>
    <xf numFmtId="3" fontId="14" fillId="2" borderId="0" xfId="0" applyNumberFormat="1" applyFont="1" applyFill="1"/>
    <xf numFmtId="0" fontId="7" fillId="0" borderId="0" xfId="0" applyFont="1"/>
    <xf numFmtId="165" fontId="3" fillId="2" borderId="1" xfId="0" applyNumberFormat="1" applyFont="1" applyFill="1" applyBorder="1"/>
    <xf numFmtId="3" fontId="15" fillId="2" borderId="0" xfId="0" applyNumberFormat="1" applyFont="1" applyFill="1"/>
    <xf numFmtId="3" fontId="1" fillId="2" borderId="1" xfId="0" applyNumberFormat="1" applyFont="1" applyFill="1" applyBorder="1"/>
    <xf numFmtId="165" fontId="3" fillId="2" borderId="3" xfId="0" applyNumberFormat="1" applyFont="1" applyFill="1" applyBorder="1"/>
    <xf numFmtId="0" fontId="15" fillId="2" borderId="0" xfId="0" applyFont="1" applyFill="1"/>
    <xf numFmtId="10" fontId="2" fillId="2" borderId="1" xfId="0" applyNumberFormat="1" applyFont="1" applyFill="1" applyBorder="1"/>
    <xf numFmtId="165" fontId="18" fillId="2" borderId="1" xfId="0" applyNumberFormat="1" applyFont="1" applyFill="1" applyBorder="1"/>
    <xf numFmtId="3" fontId="18" fillId="2" borderId="3" xfId="0" applyNumberFormat="1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164" fontId="2" fillId="4" borderId="8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2" fillId="0" borderId="0" xfId="0" applyNumberFormat="1" applyFont="1"/>
    <xf numFmtId="0" fontId="2" fillId="2" borderId="0" xfId="0" applyFont="1" applyFill="1" applyAlignment="1">
      <alignment horizontal="left" indent="1"/>
    </xf>
    <xf numFmtId="0" fontId="19" fillId="2" borderId="0" xfId="0" applyFont="1" applyFill="1"/>
    <xf numFmtId="0" fontId="19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left" indent="2"/>
    </xf>
    <xf numFmtId="3" fontId="20" fillId="2" borderId="0" xfId="0" applyNumberFormat="1" applyFont="1" applyFill="1"/>
    <xf numFmtId="0" fontId="20" fillId="0" borderId="0" xfId="0" applyFont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15" fillId="0" borderId="0" xfId="0" applyFont="1"/>
    <xf numFmtId="0" fontId="17" fillId="2" borderId="0" xfId="0" applyFont="1" applyFill="1"/>
    <xf numFmtId="0" fontId="16" fillId="2" borderId="0" xfId="0" applyFont="1" applyFill="1"/>
    <xf numFmtId="0" fontId="17" fillId="0" borderId="0" xfId="0" applyFont="1"/>
    <xf numFmtId="0" fontId="17" fillId="2" borderId="10" xfId="0" applyFont="1" applyFill="1" applyBorder="1"/>
    <xf numFmtId="3" fontId="17" fillId="2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3" fontId="2" fillId="2" borderId="12" xfId="0" applyNumberFormat="1" applyFont="1" applyFill="1" applyBorder="1"/>
    <xf numFmtId="0" fontId="19" fillId="2" borderId="10" xfId="0" applyFont="1" applyFill="1" applyBorder="1"/>
    <xf numFmtId="3" fontId="19" fillId="2" borderId="10" xfId="0" applyNumberFormat="1" applyFont="1" applyFill="1" applyBorder="1"/>
    <xf numFmtId="0" fontId="19" fillId="2" borderId="12" xfId="0" applyFont="1" applyFill="1" applyBorder="1"/>
    <xf numFmtId="0" fontId="2" fillId="2" borderId="13" xfId="0" applyFont="1" applyFill="1" applyBorder="1" applyAlignment="1">
      <alignment horizontal="left" indent="1"/>
    </xf>
    <xf numFmtId="0" fontId="2" fillId="2" borderId="13" xfId="0" applyFont="1" applyFill="1" applyBorder="1"/>
    <xf numFmtId="3" fontId="19" fillId="2" borderId="12" xfId="0" applyNumberFormat="1" applyFont="1" applyFill="1" applyBorder="1"/>
    <xf numFmtId="3" fontId="2" fillId="2" borderId="13" xfId="0" applyNumberFormat="1" applyFont="1" applyFill="1" applyBorder="1"/>
    <xf numFmtId="0" fontId="24" fillId="2" borderId="0" xfId="0" applyFont="1" applyFill="1"/>
    <xf numFmtId="0" fontId="25" fillId="2" borderId="0" xfId="0" applyFont="1" applyFill="1"/>
    <xf numFmtId="3" fontId="24" fillId="2" borderId="0" xfId="0" applyNumberFormat="1" applyFont="1" applyFill="1"/>
    <xf numFmtId="0" fontId="24" fillId="0" borderId="0" xfId="0" applyFont="1"/>
    <xf numFmtId="0" fontId="24" fillId="2" borderId="11" xfId="0" applyFont="1" applyFill="1" applyBorder="1"/>
    <xf numFmtId="3" fontId="24" fillId="2" borderId="11" xfId="0" applyNumberFormat="1" applyFont="1" applyFill="1" applyBorder="1"/>
    <xf numFmtId="0" fontId="24" fillId="2" borderId="13" xfId="0" applyFont="1" applyFill="1" applyBorder="1"/>
    <xf numFmtId="3" fontId="24" fillId="2" borderId="13" xfId="0" applyNumberFormat="1" applyFont="1" applyFill="1" applyBorder="1"/>
    <xf numFmtId="0" fontId="24" fillId="2" borderId="0" xfId="0" applyFont="1" applyFill="1" applyAlignment="1">
      <alignment horizontal="left" indent="2"/>
    </xf>
    <xf numFmtId="0" fontId="26" fillId="2" borderId="0" xfId="0" applyFont="1" applyFill="1"/>
    <xf numFmtId="3" fontId="26" fillId="2" borderId="0" xfId="0" applyNumberFormat="1" applyFont="1" applyFill="1"/>
    <xf numFmtId="0" fontId="26" fillId="0" borderId="0" xfId="0" applyFont="1"/>
    <xf numFmtId="3" fontId="3" fillId="4" borderId="8" xfId="0" applyNumberFormat="1" applyFont="1" applyFill="1" applyBorder="1" applyAlignment="1">
      <alignment horizontal="right" indent="1"/>
    </xf>
    <xf numFmtId="0" fontId="18" fillId="2" borderId="0" xfId="0" applyFont="1" applyFill="1"/>
    <xf numFmtId="0" fontId="27" fillId="2" borderId="0" xfId="0" applyFont="1" applyFill="1" applyAlignment="1">
      <alignment horizontal="center" vertical="center"/>
    </xf>
    <xf numFmtId="0" fontId="18" fillId="0" borderId="0" xfId="0" applyFont="1"/>
    <xf numFmtId="3" fontId="18" fillId="2" borderId="1" xfId="0" applyNumberFormat="1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/>
    <xf numFmtId="0" fontId="26" fillId="2" borderId="0" xfId="0" applyFont="1" applyFill="1" applyBorder="1"/>
    <xf numFmtId="3" fontId="26" fillId="2" borderId="0" xfId="0" applyNumberFormat="1" applyFont="1" applyFill="1" applyBorder="1"/>
    <xf numFmtId="0" fontId="19" fillId="5" borderId="0" xfId="0" applyFont="1" applyFill="1"/>
    <xf numFmtId="0" fontId="22" fillId="5" borderId="0" xfId="0" applyFont="1" applyFill="1"/>
    <xf numFmtId="0" fontId="19" fillId="5" borderId="10" xfId="0" applyFont="1" applyFill="1" applyBorder="1"/>
    <xf numFmtId="3" fontId="19" fillId="5" borderId="10" xfId="0" applyNumberFormat="1" applyFont="1" applyFill="1" applyBorder="1"/>
    <xf numFmtId="0" fontId="24" fillId="5" borderId="0" xfId="0" applyFont="1" applyFill="1"/>
    <xf numFmtId="0" fontId="25" fillId="5" borderId="0" xfId="0" applyFont="1" applyFill="1"/>
    <xf numFmtId="0" fontId="24" fillId="5" borderId="11" xfId="0" applyFont="1" applyFill="1" applyBorder="1"/>
    <xf numFmtId="3" fontId="24" fillId="5" borderId="11" xfId="0" applyNumberFormat="1" applyFont="1" applyFill="1" applyBorder="1"/>
    <xf numFmtId="0" fontId="19" fillId="5" borderId="12" xfId="0" applyFont="1" applyFill="1" applyBorder="1"/>
    <xf numFmtId="3" fontId="19" fillId="5" borderId="12" xfId="0" applyNumberFormat="1" applyFont="1" applyFill="1" applyBorder="1"/>
    <xf numFmtId="0" fontId="2" fillId="5" borderId="0" xfId="0" applyFont="1" applyFill="1"/>
    <xf numFmtId="0" fontId="15" fillId="5" borderId="0" xfId="0" applyFont="1" applyFill="1"/>
    <xf numFmtId="0" fontId="2" fillId="5" borderId="13" xfId="0" applyFont="1" applyFill="1" applyBorder="1" applyAlignment="1">
      <alignment horizontal="left" indent="1"/>
    </xf>
    <xf numFmtId="0" fontId="2" fillId="5" borderId="13" xfId="0" applyFont="1" applyFill="1" applyBorder="1"/>
    <xf numFmtId="3" fontId="2" fillId="5" borderId="13" xfId="0" applyNumberFormat="1" applyFont="1" applyFill="1" applyBorder="1"/>
    <xf numFmtId="0" fontId="26" fillId="5" borderId="0" xfId="0" applyFont="1" applyFill="1"/>
    <xf numFmtId="3" fontId="26" fillId="5" borderId="0" xfId="0" applyNumberFormat="1" applyFont="1" applyFill="1"/>
    <xf numFmtId="3" fontId="24" fillId="5" borderId="0" xfId="0" applyNumberFormat="1" applyFont="1" applyFill="1"/>
    <xf numFmtId="0" fontId="2" fillId="5" borderId="0" xfId="0" applyFont="1" applyFill="1" applyAlignment="1">
      <alignment horizontal="left" indent="1"/>
    </xf>
    <xf numFmtId="3" fontId="2" fillId="5" borderId="0" xfId="0" applyNumberFormat="1" applyFont="1" applyFill="1"/>
    <xf numFmtId="0" fontId="24" fillId="5" borderId="0" xfId="0" applyFont="1" applyFill="1" applyAlignment="1">
      <alignment horizontal="left" indent="2"/>
    </xf>
    <xf numFmtId="0" fontId="26" fillId="5" borderId="0" xfId="0" applyFont="1" applyFill="1" applyBorder="1"/>
    <xf numFmtId="3" fontId="26" fillId="5" borderId="0" xfId="0" applyNumberFormat="1" applyFont="1" applyFill="1" applyBorder="1"/>
    <xf numFmtId="0" fontId="28" fillId="2" borderId="0" xfId="0" applyFont="1" applyFill="1"/>
    <xf numFmtId="0" fontId="28" fillId="2" borderId="12" xfId="0" applyFont="1" applyFill="1" applyBorder="1" applyAlignment="1">
      <alignment horizontal="left"/>
    </xf>
    <xf numFmtId="0" fontId="28" fillId="2" borderId="12" xfId="0" applyFont="1" applyFill="1" applyBorder="1"/>
    <xf numFmtId="3" fontId="28" fillId="2" borderId="12" xfId="0" applyNumberFormat="1" applyFont="1" applyFill="1" applyBorder="1"/>
    <xf numFmtId="0" fontId="28" fillId="0" borderId="0" xfId="0" applyFont="1"/>
    <xf numFmtId="0" fontId="29" fillId="2" borderId="0" xfId="0" applyFont="1" applyFill="1"/>
    <xf numFmtId="0" fontId="17" fillId="5" borderId="0" xfId="0" applyFont="1" applyFill="1"/>
    <xf numFmtId="0" fontId="16" fillId="5" borderId="0" xfId="0" applyFont="1" applyFill="1"/>
    <xf numFmtId="0" fontId="17" fillId="5" borderId="10" xfId="0" applyFont="1" applyFill="1" applyBorder="1"/>
    <xf numFmtId="3" fontId="17" fillId="5" borderId="10" xfId="0" applyNumberFormat="1" applyFont="1" applyFill="1" applyBorder="1"/>
    <xf numFmtId="0" fontId="30" fillId="3" borderId="5" xfId="0" applyFont="1" applyFill="1" applyBorder="1" applyAlignment="1">
      <alignment horizontal="left"/>
    </xf>
    <xf numFmtId="0" fontId="30" fillId="3" borderId="5" xfId="0" applyFont="1" applyFill="1" applyBorder="1"/>
    <xf numFmtId="3" fontId="30" fillId="3" borderId="5" xfId="0" applyNumberFormat="1" applyFont="1" applyFill="1" applyBorder="1"/>
    <xf numFmtId="3" fontId="30" fillId="3" borderId="14" xfId="0" applyNumberFormat="1" applyFont="1" applyFill="1" applyBorder="1"/>
    <xf numFmtId="3" fontId="30" fillId="3" borderId="15" xfId="0" applyNumberFormat="1" applyFont="1" applyFill="1" applyBorder="1"/>
    <xf numFmtId="3" fontId="30" fillId="3" borderId="16" xfId="0" applyNumberFormat="1" applyFont="1" applyFill="1" applyBorder="1"/>
    <xf numFmtId="0" fontId="3" fillId="6" borderId="12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6" borderId="12" xfId="0" applyFont="1" applyFill="1" applyBorder="1"/>
    <xf numFmtId="3" fontId="3" fillId="6" borderId="12" xfId="0" applyNumberFormat="1" applyFont="1" applyFill="1" applyBorder="1"/>
    <xf numFmtId="0" fontId="3" fillId="7" borderId="12" xfId="0" applyFont="1" applyFill="1" applyBorder="1"/>
    <xf numFmtId="3" fontId="3" fillId="7" borderId="12" xfId="0" applyNumberFormat="1" applyFont="1" applyFill="1" applyBorder="1"/>
    <xf numFmtId="0" fontId="9" fillId="3" borderId="2" xfId="0" applyFont="1" applyFill="1" applyBorder="1"/>
    <xf numFmtId="165" fontId="2" fillId="2" borderId="12" xfId="0" applyNumberFormat="1" applyFont="1" applyFill="1" applyBorder="1"/>
    <xf numFmtId="165" fontId="9" fillId="3" borderId="1" xfId="0" applyNumberFormat="1" applyFont="1" applyFill="1" applyBorder="1"/>
    <xf numFmtId="0" fontId="31" fillId="2" borderId="0" xfId="0" applyFont="1" applyFill="1"/>
    <xf numFmtId="0" fontId="32" fillId="2" borderId="0" xfId="0" applyFont="1" applyFill="1"/>
    <xf numFmtId="0" fontId="31" fillId="2" borderId="12" xfId="0" applyFont="1" applyFill="1" applyBorder="1"/>
    <xf numFmtId="3" fontId="31" fillId="2" borderId="12" xfId="0" applyNumberFormat="1" applyFont="1" applyFill="1" applyBorder="1"/>
    <xf numFmtId="0" fontId="31" fillId="0" borderId="0" xfId="0" applyFont="1"/>
    <xf numFmtId="3" fontId="33" fillId="2" borderId="0" xfId="0" applyNumberFormat="1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3" fontId="3" fillId="2" borderId="12" xfId="0" applyNumberFormat="1" applyFont="1" applyFill="1" applyBorder="1"/>
    <xf numFmtId="3" fontId="9" fillId="3" borderId="2" xfId="0" applyNumberFormat="1" applyFont="1" applyFill="1" applyBorder="1" applyAlignment="1">
      <alignment horizontal="right" indent="1"/>
    </xf>
    <xf numFmtId="3" fontId="3" fillId="4" borderId="0" xfId="0" applyNumberFormat="1" applyFont="1" applyFill="1" applyAlignment="1">
      <alignment horizontal="right" indent="1"/>
    </xf>
    <xf numFmtId="0" fontId="8" fillId="2" borderId="0" xfId="0" applyFont="1" applyFill="1"/>
    <xf numFmtId="3" fontId="8" fillId="2" borderId="0" xfId="0" applyNumberFormat="1" applyFont="1" applyFill="1"/>
    <xf numFmtId="0" fontId="8" fillId="0" borderId="0" xfId="0" applyFont="1"/>
    <xf numFmtId="167" fontId="17" fillId="2" borderId="10" xfId="0" applyNumberFormat="1" applyFont="1" applyFill="1" applyBorder="1"/>
    <xf numFmtId="3" fontId="17" fillId="2" borderId="0" xfId="0" applyNumberFormat="1" applyFont="1" applyFill="1" applyBorder="1"/>
    <xf numFmtId="165" fontId="30" fillId="3" borderId="5" xfId="0" applyNumberFormat="1" applyFont="1" applyFill="1" applyBorder="1"/>
    <xf numFmtId="9" fontId="30" fillId="3" borderId="5" xfId="0" applyNumberFormat="1" applyFont="1" applyFill="1" applyBorder="1"/>
    <xf numFmtId="0" fontId="34" fillId="2" borderId="0" xfId="0" applyFont="1" applyFill="1"/>
    <xf numFmtId="0" fontId="35" fillId="2" borderId="0" xfId="0" applyFont="1" applyFill="1"/>
    <xf numFmtId="0" fontId="34" fillId="2" borderId="9" xfId="0" applyFont="1" applyFill="1" applyBorder="1"/>
    <xf numFmtId="3" fontId="34" fillId="2" borderId="9" xfId="0" applyNumberFormat="1" applyFont="1" applyFill="1" applyBorder="1"/>
    <xf numFmtId="0" fontId="34" fillId="0" borderId="0" xfId="0" applyFont="1"/>
    <xf numFmtId="167" fontId="30" fillId="3" borderId="5" xfId="0" applyNumberFormat="1" applyFont="1" applyFill="1" applyBorder="1"/>
    <xf numFmtId="3" fontId="8" fillId="2" borderId="0" xfId="0" applyNumberFormat="1" applyFont="1" applyFill="1" applyBorder="1"/>
    <xf numFmtId="165" fontId="2" fillId="2" borderId="0" xfId="0" applyNumberFormat="1" applyFont="1" applyFill="1" applyAlignment="1">
      <alignment horizontal="right"/>
    </xf>
    <xf numFmtId="1" fontId="15" fillId="2" borderId="0" xfId="0" applyNumberFormat="1" applyFont="1" applyFill="1"/>
    <xf numFmtId="1" fontId="29" fillId="2" borderId="0" xfId="0" applyNumberFormat="1" applyFont="1" applyFill="1"/>
    <xf numFmtId="0" fontId="36" fillId="2" borderId="0" xfId="0" applyFont="1" applyFill="1"/>
    <xf numFmtId="0" fontId="2" fillId="3" borderId="17" xfId="0" applyFont="1" applyFill="1" applyBorder="1"/>
    <xf numFmtId="0" fontId="2" fillId="3" borderId="18" xfId="0" applyFont="1" applyFill="1" applyBorder="1"/>
    <xf numFmtId="0" fontId="37" fillId="3" borderId="0" xfId="0" quotePrefix="1" applyFont="1" applyFill="1" applyAlignment="1">
      <alignment horizontal="left" indent="1"/>
    </xf>
    <xf numFmtId="0" fontId="38" fillId="2" borderId="0" xfId="0" applyFont="1" applyFill="1"/>
    <xf numFmtId="0" fontId="40" fillId="3" borderId="20" xfId="1" applyFont="1" applyFill="1" applyBorder="1"/>
    <xf numFmtId="0" fontId="40" fillId="3" borderId="19" xfId="1" applyFont="1" applyFill="1" applyBorder="1"/>
    <xf numFmtId="0" fontId="19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42" fillId="2" borderId="0" xfId="1" applyFont="1" applyFill="1"/>
    <xf numFmtId="0" fontId="43" fillId="3" borderId="0" xfId="0" applyFont="1" applyFill="1"/>
    <xf numFmtId="0" fontId="41" fillId="9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center" vertical="center"/>
    </xf>
    <xf numFmtId="0" fontId="41" fillId="11" borderId="0" xfId="1" applyFont="1" applyFill="1" applyAlignment="1">
      <alignment horizontal="center" vertical="center"/>
    </xf>
    <xf numFmtId="0" fontId="41" fillId="12" borderId="0" xfId="1" applyFont="1" applyFill="1" applyAlignment="1">
      <alignment horizontal="center" vertical="center"/>
    </xf>
    <xf numFmtId="0" fontId="41" fillId="10" borderId="0" xfId="1" applyFont="1" applyFill="1" applyAlignment="1">
      <alignment horizontal="center" vertical="center"/>
    </xf>
    <xf numFmtId="0" fontId="45" fillId="8" borderId="0" xfId="1" applyFont="1" applyFill="1" applyAlignment="1">
      <alignment horizontal="center" vertical="center"/>
    </xf>
    <xf numFmtId="0" fontId="41" fillId="13" borderId="0" xfId="1" applyFont="1" applyFill="1" applyAlignment="1">
      <alignment horizontal="center" vertical="center"/>
    </xf>
    <xf numFmtId="0" fontId="47" fillId="2" borderId="0" xfId="0" quotePrefix="1" applyFont="1" applyFill="1" applyAlignment="1">
      <alignment horizontal="right" vertical="center"/>
    </xf>
    <xf numFmtId="0" fontId="48" fillId="14" borderId="21" xfId="0" applyFont="1" applyFill="1" applyBorder="1" applyAlignment="1">
      <alignment vertical="center"/>
    </xf>
    <xf numFmtId="0" fontId="48" fillId="14" borderId="22" xfId="0" applyFont="1" applyFill="1" applyBorder="1" applyAlignment="1">
      <alignment vertical="center"/>
    </xf>
    <xf numFmtId="0" fontId="48" fillId="14" borderId="22" xfId="0" applyFont="1" applyFill="1" applyBorder="1" applyAlignment="1">
      <alignment vertical="center" wrapText="1"/>
    </xf>
    <xf numFmtId="0" fontId="48" fillId="14" borderId="23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horizontal="right" vertical="center"/>
    </xf>
    <xf numFmtId="0" fontId="46" fillId="2" borderId="0" xfId="1" applyFont="1" applyFill="1" applyBorder="1" applyAlignment="1">
      <alignment vertical="center" wrapText="1"/>
    </xf>
    <xf numFmtId="0" fontId="48" fillId="14" borderId="24" xfId="0" applyFont="1" applyFill="1" applyBorder="1" applyAlignment="1">
      <alignment vertical="center"/>
    </xf>
    <xf numFmtId="0" fontId="5" fillId="14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5" fillId="14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14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14" borderId="2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8" fillId="14" borderId="25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 wrapText="1"/>
    </xf>
    <xf numFmtId="0" fontId="52" fillId="14" borderId="25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2" fillId="14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8" fillId="2" borderId="26" xfId="0" applyFont="1" applyFill="1" applyBorder="1" applyAlignment="1">
      <alignment vertical="center"/>
    </xf>
    <xf numFmtId="0" fontId="48" fillId="2" borderId="9" xfId="0" applyFont="1" applyFill="1" applyBorder="1" applyAlignment="1">
      <alignment vertical="center"/>
    </xf>
    <xf numFmtId="0" fontId="48" fillId="2" borderId="9" xfId="0" applyFont="1" applyFill="1" applyBorder="1" applyAlignment="1">
      <alignment vertical="center" wrapText="1"/>
    </xf>
    <xf numFmtId="0" fontId="48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3" fillId="14" borderId="25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2" borderId="28" xfId="0" applyFont="1" applyFill="1" applyBorder="1" applyAlignment="1">
      <alignment vertical="center"/>
    </xf>
    <xf numFmtId="0" fontId="53" fillId="2" borderId="31" xfId="0" applyFont="1" applyFill="1" applyBorder="1" applyAlignment="1">
      <alignment vertical="center" wrapText="1"/>
    </xf>
    <xf numFmtId="0" fontId="53" fillId="2" borderId="30" xfId="0" applyFont="1" applyFill="1" applyBorder="1" applyAlignment="1">
      <alignment vertical="center"/>
    </xf>
    <xf numFmtId="0" fontId="53" fillId="14" borderId="24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 wrapText="1"/>
    </xf>
    <xf numFmtId="0" fontId="54" fillId="2" borderId="32" xfId="0" applyFont="1" applyFill="1" applyBorder="1" applyAlignment="1">
      <alignment vertical="center" wrapText="1"/>
    </xf>
    <xf numFmtId="0" fontId="54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3" fillId="2" borderId="0" xfId="0" quotePrefix="1" applyFont="1" applyFill="1" applyBorder="1" applyAlignment="1">
      <alignment horizontal="center" vertical="center"/>
    </xf>
    <xf numFmtId="0" fontId="53" fillId="2" borderId="32" xfId="0" applyFont="1" applyFill="1" applyBorder="1" applyAlignment="1">
      <alignment vertical="center" wrapText="1"/>
    </xf>
    <xf numFmtId="0" fontId="48" fillId="2" borderId="33" xfId="0" applyFont="1" applyFill="1" applyBorder="1" applyAlignment="1">
      <alignment vertical="center"/>
    </xf>
    <xf numFmtId="0" fontId="48" fillId="2" borderId="8" xfId="0" applyFont="1" applyFill="1" applyBorder="1" applyAlignment="1">
      <alignment vertical="center"/>
    </xf>
    <xf numFmtId="0" fontId="48" fillId="2" borderId="8" xfId="0" applyFont="1" applyFill="1" applyBorder="1" applyAlignment="1">
      <alignment vertical="center" wrapText="1"/>
    </xf>
    <xf numFmtId="0" fontId="48" fillId="2" borderId="34" xfId="0" applyFont="1" applyFill="1" applyBorder="1" applyAlignment="1">
      <alignment vertical="center"/>
    </xf>
    <xf numFmtId="0" fontId="50" fillId="14" borderId="25" xfId="0" applyFont="1" applyFill="1" applyBorder="1" applyAlignment="1">
      <alignment vertical="center"/>
    </xf>
    <xf numFmtId="0" fontId="50" fillId="2" borderId="28" xfId="0" applyFont="1" applyFill="1" applyBorder="1" applyAlignment="1">
      <alignment vertical="center"/>
    </xf>
    <xf numFmtId="0" fontId="57" fillId="9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right" vertical="center"/>
    </xf>
    <xf numFmtId="17" fontId="58" fillId="2" borderId="0" xfId="0" quotePrefix="1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 wrapText="1"/>
    </xf>
    <xf numFmtId="0" fontId="50" fillId="2" borderId="30" xfId="0" applyFont="1" applyFill="1" applyBorder="1" applyAlignment="1">
      <alignment vertical="center"/>
    </xf>
    <xf numFmtId="0" fontId="50" fillId="14" borderId="24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0" fillId="2" borderId="29" xfId="0" applyFont="1" applyFill="1" applyBorder="1" applyAlignment="1">
      <alignment horizontal="right" vertical="center"/>
    </xf>
    <xf numFmtId="0" fontId="58" fillId="2" borderId="29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vertical="center" wrapText="1"/>
    </xf>
    <xf numFmtId="0" fontId="50" fillId="2" borderId="35" xfId="0" applyFont="1" applyFill="1" applyBorder="1" applyAlignment="1">
      <alignment vertical="center"/>
    </xf>
    <xf numFmtId="0" fontId="50" fillId="2" borderId="35" xfId="0" applyFont="1" applyFill="1" applyBorder="1" applyAlignment="1">
      <alignment horizontal="right" vertical="center"/>
    </xf>
    <xf numFmtId="17" fontId="58" fillId="2" borderId="35" xfId="0" quotePrefix="1" applyNumberFormat="1" applyFont="1" applyFill="1" applyBorder="1" applyAlignment="1">
      <alignment horizontal="center" vertical="center"/>
    </xf>
    <xf numFmtId="0" fontId="58" fillId="2" borderId="35" xfId="0" applyFont="1" applyFill="1" applyBorder="1" applyAlignment="1">
      <alignment vertical="center"/>
    </xf>
    <xf numFmtId="0" fontId="50" fillId="2" borderId="35" xfId="0" applyFont="1" applyFill="1" applyBorder="1" applyAlignment="1">
      <alignment vertical="center" wrapText="1"/>
    </xf>
    <xf numFmtId="0" fontId="50" fillId="2" borderId="36" xfId="0" applyFont="1" applyFill="1" applyBorder="1" applyAlignment="1">
      <alignment horizontal="right" vertical="center"/>
    </xf>
    <xf numFmtId="0" fontId="50" fillId="2" borderId="32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center" vertical="center"/>
    </xf>
    <xf numFmtId="0" fontId="58" fillId="2" borderId="1" xfId="0" quotePrefix="1" applyFont="1" applyFill="1" applyBorder="1" applyAlignment="1">
      <alignment horizontal="center" vertical="center"/>
    </xf>
    <xf numFmtId="0" fontId="59" fillId="2" borderId="32" xfId="0" applyFont="1" applyFill="1" applyBorder="1" applyAlignment="1">
      <alignment vertical="center" wrapText="1"/>
    </xf>
    <xf numFmtId="0" fontId="57" fillId="10" borderId="0" xfId="0" applyFont="1" applyFill="1" applyBorder="1" applyAlignment="1">
      <alignment horizontal="center" vertical="center"/>
    </xf>
    <xf numFmtId="0" fontId="58" fillId="2" borderId="0" xfId="0" quotePrefix="1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right" vertical="center"/>
    </xf>
    <xf numFmtId="0" fontId="56" fillId="2" borderId="32" xfId="0" applyFont="1" applyFill="1" applyBorder="1" applyAlignment="1">
      <alignment vertical="center" wrapText="1"/>
    </xf>
    <xf numFmtId="0" fontId="48" fillId="14" borderId="37" xfId="0" applyFont="1" applyFill="1" applyBorder="1" applyAlignment="1">
      <alignment vertical="center"/>
    </xf>
    <xf numFmtId="0" fontId="48" fillId="14" borderId="38" xfId="0" applyFont="1" applyFill="1" applyBorder="1" applyAlignment="1">
      <alignment vertical="center"/>
    </xf>
    <xf numFmtId="0" fontId="48" fillId="14" borderId="38" xfId="0" applyFont="1" applyFill="1" applyBorder="1" applyAlignment="1">
      <alignment vertical="center" wrapText="1"/>
    </xf>
    <xf numFmtId="0" fontId="48" fillId="14" borderId="39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500"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investitsionnaya_model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investitsionnaya_model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2011680</xdr:colOff>
      <xdr:row>2</xdr:row>
      <xdr:rowOff>45720</xdr:rowOff>
    </xdr:from>
    <xdr:to>
      <xdr:col>10</xdr:col>
      <xdr:colOff>106840</xdr:colOff>
      <xdr:row>5</xdr:row>
      <xdr:rowOff>129593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960" y="16764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373380</xdr:colOff>
      <xdr:row>3</xdr:row>
      <xdr:rowOff>106680</xdr:rowOff>
    </xdr:from>
    <xdr:to>
      <xdr:col>9</xdr:col>
      <xdr:colOff>1097280</xdr:colOff>
      <xdr:row>7</xdr:row>
      <xdr:rowOff>22860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инвестиционного проекта MNGMNT.RU"/>
        </xdr:cNvPr>
        <xdr:cNvSpPr/>
      </xdr:nvSpPr>
      <xdr:spPr>
        <a:xfrm>
          <a:off x="4320540" y="403860"/>
          <a:ext cx="16840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ИНВЕСТИЦИОННОГО</a:t>
          </a:r>
          <a:r>
            <a:rPr lang="ru-RU" sz="1000" b="1" baseline="0">
              <a:solidFill>
                <a:srgbClr val="002060"/>
              </a:solidFill>
            </a:rPr>
            <a:t> ПРОЕКТА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822960</xdr:colOff>
      <xdr:row>1</xdr:row>
      <xdr:rowOff>68580</xdr:rowOff>
    </xdr:from>
    <xdr:to>
      <xdr:col>14</xdr:col>
      <xdr:colOff>91600</xdr:colOff>
      <xdr:row>5</xdr:row>
      <xdr:rowOff>68633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340" y="2209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5</xdr:col>
      <xdr:colOff>2758440</xdr:colOff>
      <xdr:row>1</xdr:row>
      <xdr:rowOff>45720</xdr:rowOff>
    </xdr:from>
    <xdr:to>
      <xdr:col>5</xdr:col>
      <xdr:colOff>4442460</xdr:colOff>
      <xdr:row>5</xdr:row>
      <xdr:rowOff>53340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инвестиционного проекта MNGMNT.RU"/>
        </xdr:cNvPr>
        <xdr:cNvSpPr/>
      </xdr:nvSpPr>
      <xdr:spPr>
        <a:xfrm>
          <a:off x="3398520" y="198120"/>
          <a:ext cx="16840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ИНВЕСТИЦИОННОГО</a:t>
          </a:r>
          <a:r>
            <a:rPr lang="ru-RU" sz="1000" b="1" baseline="0">
              <a:solidFill>
                <a:srgbClr val="002060"/>
              </a:solidFill>
            </a:rPr>
            <a:t> ПРОЕКТА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</xdr:colOff>
      <xdr:row>1</xdr:row>
      <xdr:rowOff>60960</xdr:rowOff>
    </xdr:from>
    <xdr:to>
      <xdr:col>13</xdr:col>
      <xdr:colOff>99220</xdr:colOff>
      <xdr:row>5</xdr:row>
      <xdr:rowOff>61013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213360"/>
          <a:ext cx="1844200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121920</xdr:rowOff>
    </xdr:from>
    <xdr:to>
      <xdr:col>13</xdr:col>
      <xdr:colOff>76360</xdr:colOff>
      <xdr:row>5</xdr:row>
      <xdr:rowOff>121973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274320"/>
          <a:ext cx="1844200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</xdr:colOff>
      <xdr:row>2</xdr:row>
      <xdr:rowOff>22860</xdr:rowOff>
    </xdr:from>
    <xdr:to>
      <xdr:col>13</xdr:col>
      <xdr:colOff>68740</xdr:colOff>
      <xdr:row>6</xdr:row>
      <xdr:rowOff>22913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420" y="327660"/>
          <a:ext cx="1844200" cy="6096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2</xdr:row>
      <xdr:rowOff>15240</xdr:rowOff>
    </xdr:from>
    <xdr:to>
      <xdr:col>13</xdr:col>
      <xdr:colOff>76360</xdr:colOff>
      <xdr:row>6</xdr:row>
      <xdr:rowOff>15293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320040"/>
          <a:ext cx="1844200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2659380</xdr:colOff>
      <xdr:row>1</xdr:row>
      <xdr:rowOff>121920</xdr:rowOff>
    </xdr:from>
    <xdr:to>
      <xdr:col>12</xdr:col>
      <xdr:colOff>7780</xdr:colOff>
      <xdr:row>5</xdr:row>
      <xdr:rowOff>121973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460" y="274320"/>
          <a:ext cx="1844200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88"/>
  <sheetViews>
    <sheetView showGridLines="0"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4" sqref="B4"/>
    </sheetView>
  </sheetViews>
  <sheetFormatPr defaultColWidth="9.109375" defaultRowHeight="13.8" x14ac:dyDescent="0.3"/>
  <cols>
    <col min="1" max="1" width="1" style="213" customWidth="1"/>
    <col min="2" max="3" width="2.6640625" style="213" customWidth="1"/>
    <col min="4" max="4" width="4.6640625" style="213" customWidth="1"/>
    <col min="5" max="5" width="9.109375" style="213"/>
    <col min="6" max="6" width="13.6640625" style="213" bestFit="1" customWidth="1"/>
    <col min="7" max="9" width="9.109375" style="213"/>
    <col min="10" max="10" width="2.77734375" style="213" customWidth="1"/>
    <col min="11" max="11" width="9.109375" style="213"/>
    <col min="12" max="12" width="58" style="295" customWidth="1"/>
    <col min="13" max="14" width="2.6640625" style="213" customWidth="1"/>
    <col min="15" max="15" width="1" style="213" customWidth="1"/>
    <col min="16" max="16384" width="9.109375" style="213"/>
  </cols>
  <sheetData>
    <row r="1" spans="1:15" ht="6" customHeight="1" x14ac:dyDescent="0.3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  <c r="M1" s="210"/>
      <c r="N1" s="210"/>
      <c r="O1" s="212"/>
    </row>
    <row r="2" spans="1:15" x14ac:dyDescent="0.25">
      <c r="A2" s="192" t="s">
        <v>321</v>
      </c>
      <c r="B2" s="192"/>
      <c r="C2" s="192"/>
      <c r="D2" s="192"/>
      <c r="E2" s="193"/>
      <c r="F2" s="214"/>
      <c r="G2" s="214"/>
      <c r="H2" s="214"/>
      <c r="I2" s="214"/>
      <c r="J2" s="215"/>
      <c r="K2" s="215"/>
      <c r="L2" s="216"/>
      <c r="M2" s="214"/>
      <c r="N2" s="214"/>
      <c r="O2" s="217"/>
    </row>
    <row r="3" spans="1:15" s="222" customFormat="1" ht="12" x14ac:dyDescent="0.3">
      <c r="A3" s="218"/>
      <c r="B3" s="219"/>
      <c r="C3" s="219"/>
      <c r="D3" s="220"/>
      <c r="E3" s="219"/>
      <c r="F3" s="219"/>
      <c r="G3" s="220"/>
      <c r="H3" s="220"/>
      <c r="I3" s="220"/>
      <c r="J3" s="215"/>
      <c r="K3" s="215"/>
      <c r="L3" s="216"/>
      <c r="M3" s="219"/>
      <c r="N3" s="219"/>
      <c r="O3" s="221"/>
    </row>
    <row r="4" spans="1:15" s="228" customFormat="1" ht="10.199999999999999" x14ac:dyDescent="0.3">
      <c r="A4" s="223"/>
      <c r="B4" s="224"/>
      <c r="C4" s="224"/>
      <c r="D4" s="225" t="str">
        <f>оглавление!D3</f>
        <v>Финмодель инвестиционного проекта</v>
      </c>
      <c r="E4" s="224"/>
      <c r="F4" s="224"/>
      <c r="G4" s="224"/>
      <c r="H4" s="224"/>
      <c r="I4" s="224"/>
      <c r="J4" s="224"/>
      <c r="K4" s="224"/>
      <c r="L4" s="226"/>
      <c r="M4" s="224"/>
      <c r="N4" s="224"/>
      <c r="O4" s="227"/>
    </row>
    <row r="5" spans="1:15" s="228" customFormat="1" ht="10.199999999999999" x14ac:dyDescent="0.3">
      <c r="A5" s="223"/>
      <c r="B5" s="224"/>
      <c r="C5" s="224"/>
      <c r="D5" s="225" t="s">
        <v>351</v>
      </c>
      <c r="E5" s="224"/>
      <c r="F5" s="224"/>
      <c r="G5" s="224"/>
      <c r="H5" s="224"/>
      <c r="I5" s="224"/>
      <c r="J5" s="224"/>
      <c r="K5" s="224"/>
      <c r="L5" s="226"/>
      <c r="M5" s="224"/>
      <c r="N5" s="224"/>
      <c r="O5" s="227"/>
    </row>
    <row r="6" spans="1:15" x14ac:dyDescent="0.3">
      <c r="A6" s="229"/>
      <c r="B6" s="214"/>
      <c r="C6" s="214"/>
      <c r="D6" s="230" t="s">
        <v>352</v>
      </c>
      <c r="E6" s="214"/>
      <c r="F6" s="214"/>
      <c r="G6" s="214"/>
      <c r="H6" s="214"/>
      <c r="I6" s="214"/>
      <c r="J6" s="214"/>
      <c r="K6" s="214"/>
      <c r="L6" s="231"/>
      <c r="M6" s="214"/>
      <c r="N6" s="214"/>
      <c r="O6" s="217"/>
    </row>
    <row r="7" spans="1:15" s="235" customFormat="1" ht="5.0999999999999996" customHeight="1" x14ac:dyDescent="0.3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4"/>
    </row>
    <row r="8" spans="1:15" s="235" customFormat="1" ht="5.0999999999999996" customHeight="1" x14ac:dyDescent="0.3">
      <c r="A8" s="232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4"/>
    </row>
    <row r="9" spans="1:15" x14ac:dyDescent="0.3">
      <c r="A9" s="229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31"/>
      <c r="M9" s="214"/>
      <c r="N9" s="214"/>
      <c r="O9" s="217"/>
    </row>
    <row r="10" spans="1:15" ht="6" customHeight="1" x14ac:dyDescent="0.3">
      <c r="A10" s="229"/>
      <c r="B10" s="214"/>
      <c r="C10" s="236"/>
      <c r="D10" s="237"/>
      <c r="E10" s="237"/>
      <c r="F10" s="237"/>
      <c r="G10" s="237"/>
      <c r="H10" s="237"/>
      <c r="I10" s="237"/>
      <c r="J10" s="237"/>
      <c r="K10" s="237"/>
      <c r="L10" s="238"/>
      <c r="M10" s="239"/>
      <c r="N10" s="214"/>
      <c r="O10" s="217"/>
    </row>
    <row r="11" spans="1:15" s="222" customFormat="1" ht="12" x14ac:dyDescent="0.3">
      <c r="A11" s="218"/>
      <c r="B11" s="219"/>
      <c r="C11" s="240"/>
      <c r="D11" s="220" t="s">
        <v>353</v>
      </c>
      <c r="E11" s="219"/>
      <c r="F11" s="219"/>
      <c r="G11" s="219"/>
      <c r="H11" s="219"/>
      <c r="I11" s="241"/>
      <c r="J11" s="23" t="s">
        <v>22</v>
      </c>
      <c r="K11" s="242" t="s">
        <v>354</v>
      </c>
      <c r="L11" s="243" t="s">
        <v>355</v>
      </c>
      <c r="M11" s="244"/>
      <c r="N11" s="219"/>
      <c r="O11" s="221"/>
    </row>
    <row r="12" spans="1:15" s="251" customFormat="1" ht="6.6" x14ac:dyDescent="0.3">
      <c r="A12" s="245"/>
      <c r="B12" s="246"/>
      <c r="C12" s="247"/>
      <c r="D12" s="246"/>
      <c r="E12" s="246"/>
      <c r="F12" s="246"/>
      <c r="G12" s="246"/>
      <c r="H12" s="246"/>
      <c r="I12" s="246"/>
      <c r="J12" s="246"/>
      <c r="K12" s="246"/>
      <c r="L12" s="248"/>
      <c r="M12" s="249"/>
      <c r="N12" s="246"/>
      <c r="O12" s="250"/>
    </row>
    <row r="13" spans="1:15" s="222" customFormat="1" ht="11.4" x14ac:dyDescent="0.3">
      <c r="A13" s="218"/>
      <c r="B13" s="219"/>
      <c r="C13" s="240"/>
      <c r="D13" s="219"/>
      <c r="E13" s="219"/>
      <c r="F13" s="219"/>
      <c r="G13" s="219"/>
      <c r="H13" s="219"/>
      <c r="I13" s="252"/>
      <c r="J13" s="242"/>
      <c r="K13" s="242" t="s">
        <v>354</v>
      </c>
      <c r="L13" s="253" t="s">
        <v>356</v>
      </c>
      <c r="M13" s="244"/>
      <c r="N13" s="219"/>
      <c r="O13" s="221"/>
    </row>
    <row r="14" spans="1:15" s="251" customFormat="1" ht="11.4" x14ac:dyDescent="0.3">
      <c r="A14" s="245"/>
      <c r="B14" s="246"/>
      <c r="C14" s="247"/>
      <c r="D14" s="219"/>
      <c r="E14" s="219"/>
      <c r="F14" s="219"/>
      <c r="G14" s="246"/>
      <c r="H14" s="246"/>
      <c r="I14" s="246"/>
      <c r="J14" s="246"/>
      <c r="K14" s="246"/>
      <c r="L14" s="254" t="s">
        <v>357</v>
      </c>
      <c r="M14" s="249"/>
      <c r="N14" s="246"/>
      <c r="O14" s="250"/>
    </row>
    <row r="15" spans="1:15" s="222" customFormat="1" ht="11.4" x14ac:dyDescent="0.3">
      <c r="A15" s="218"/>
      <c r="B15" s="219"/>
      <c r="C15" s="240"/>
      <c r="D15" s="219"/>
      <c r="E15" s="219"/>
      <c r="F15" s="219"/>
      <c r="G15" s="219"/>
      <c r="H15" s="219"/>
      <c r="I15" s="255" t="s">
        <v>358</v>
      </c>
      <c r="J15" s="242"/>
      <c r="K15" s="242" t="s">
        <v>354</v>
      </c>
      <c r="L15" s="253" t="s">
        <v>359</v>
      </c>
      <c r="M15" s="244"/>
      <c r="N15" s="219"/>
      <c r="O15" s="221"/>
    </row>
    <row r="16" spans="1:15" s="251" customFormat="1" ht="11.4" x14ac:dyDescent="0.3">
      <c r="A16" s="245"/>
      <c r="B16" s="246"/>
      <c r="C16" s="247"/>
      <c r="D16" s="219"/>
      <c r="E16" s="219"/>
      <c r="F16" s="219"/>
      <c r="G16" s="246"/>
      <c r="H16" s="246"/>
      <c r="I16" s="256"/>
      <c r="J16" s="257"/>
      <c r="K16" s="257"/>
      <c r="L16" s="258"/>
      <c r="M16" s="249"/>
      <c r="N16" s="246"/>
      <c r="O16" s="250"/>
    </row>
    <row r="17" spans="1:15" s="222" customFormat="1" ht="46.2" x14ac:dyDescent="0.3">
      <c r="A17" s="218"/>
      <c r="B17" s="219"/>
      <c r="C17" s="240"/>
      <c r="D17" s="219"/>
      <c r="E17" s="219"/>
      <c r="F17" s="219"/>
      <c r="G17" s="219"/>
      <c r="H17" s="219"/>
      <c r="I17" s="255"/>
      <c r="J17" s="242"/>
      <c r="K17" s="242"/>
      <c r="L17" s="254" t="s">
        <v>360</v>
      </c>
      <c r="M17" s="244"/>
      <c r="N17" s="219"/>
      <c r="O17" s="221"/>
    </row>
    <row r="18" spans="1:15" ht="6" customHeight="1" x14ac:dyDescent="0.3">
      <c r="A18" s="229"/>
      <c r="B18" s="214"/>
      <c r="C18" s="259"/>
      <c r="D18" s="260"/>
      <c r="E18" s="260"/>
      <c r="F18" s="260"/>
      <c r="G18" s="260"/>
      <c r="H18" s="260"/>
      <c r="I18" s="260"/>
      <c r="J18" s="260"/>
      <c r="K18" s="260"/>
      <c r="L18" s="261"/>
      <c r="M18" s="262"/>
      <c r="N18" s="214"/>
      <c r="O18" s="217"/>
    </row>
    <row r="19" spans="1:15" ht="6" customHeight="1" x14ac:dyDescent="0.3">
      <c r="A19" s="22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31"/>
      <c r="M19" s="214"/>
      <c r="N19" s="214"/>
      <c r="O19" s="217"/>
    </row>
    <row r="20" spans="1:15" ht="6" customHeight="1" x14ac:dyDescent="0.3">
      <c r="A20" s="229"/>
      <c r="B20" s="214"/>
      <c r="C20" s="236"/>
      <c r="D20" s="237"/>
      <c r="E20" s="237"/>
      <c r="F20" s="237"/>
      <c r="G20" s="237"/>
      <c r="H20" s="237"/>
      <c r="I20" s="237"/>
      <c r="J20" s="237"/>
      <c r="K20" s="237"/>
      <c r="L20" s="238"/>
      <c r="M20" s="239"/>
      <c r="N20" s="214"/>
      <c r="O20" s="217"/>
    </row>
    <row r="21" spans="1:15" s="272" customFormat="1" ht="12" x14ac:dyDescent="0.3">
      <c r="A21" s="263"/>
      <c r="B21" s="220"/>
      <c r="C21" s="264"/>
      <c r="D21" s="220" t="s">
        <v>361</v>
      </c>
      <c r="E21" s="220"/>
      <c r="F21" s="265" t="s">
        <v>325</v>
      </c>
      <c r="G21" s="266"/>
      <c r="H21" s="267"/>
      <c r="I21" s="268"/>
      <c r="J21" s="220"/>
      <c r="K21" s="220"/>
      <c r="L21" s="269"/>
      <c r="M21" s="270"/>
      <c r="N21" s="220"/>
      <c r="O21" s="271"/>
    </row>
    <row r="22" spans="1:15" s="222" customFormat="1" ht="11.4" x14ac:dyDescent="0.3">
      <c r="A22" s="218"/>
      <c r="B22" s="219"/>
      <c r="C22" s="240"/>
      <c r="D22" s="219"/>
      <c r="E22" s="219"/>
      <c r="F22" s="219"/>
      <c r="G22" s="219"/>
      <c r="H22" s="219"/>
      <c r="I22" s="219"/>
      <c r="J22" s="219"/>
      <c r="K22" s="219"/>
      <c r="L22" s="273"/>
      <c r="M22" s="244"/>
      <c r="N22" s="219"/>
      <c r="O22" s="221"/>
    </row>
    <row r="23" spans="1:15" s="222" customFormat="1" ht="12" x14ac:dyDescent="0.3">
      <c r="A23" s="218"/>
      <c r="B23" s="219"/>
      <c r="C23" s="240"/>
      <c r="D23" s="219"/>
      <c r="E23" s="219"/>
      <c r="F23" s="219"/>
      <c r="G23" s="274" t="s">
        <v>362</v>
      </c>
      <c r="H23" s="275" t="s">
        <v>363</v>
      </c>
      <c r="I23" s="274"/>
      <c r="J23" s="274"/>
      <c r="K23" s="274"/>
      <c r="L23" s="276" t="s">
        <v>364</v>
      </c>
      <c r="M23" s="244"/>
      <c r="N23" s="219"/>
      <c r="O23" s="221"/>
    </row>
    <row r="24" spans="1:15" s="222" customFormat="1" ht="46.2" x14ac:dyDescent="0.3">
      <c r="A24" s="218"/>
      <c r="B24" s="219"/>
      <c r="C24" s="240"/>
      <c r="D24" s="219"/>
      <c r="E24" s="219"/>
      <c r="F24" s="219"/>
      <c r="G24" s="224"/>
      <c r="H24" s="224"/>
      <c r="I24" s="224"/>
      <c r="J24" s="224"/>
      <c r="K24" s="224"/>
      <c r="L24" s="253" t="s">
        <v>365</v>
      </c>
      <c r="M24" s="244"/>
      <c r="N24" s="219"/>
      <c r="O24" s="221"/>
    </row>
    <row r="25" spans="1:15" s="222" customFormat="1" ht="11.4" x14ac:dyDescent="0.3">
      <c r="A25" s="218"/>
      <c r="B25" s="219"/>
      <c r="C25" s="240"/>
      <c r="D25" s="219"/>
      <c r="E25" s="219"/>
      <c r="F25" s="219"/>
      <c r="G25" s="219"/>
      <c r="H25" s="219"/>
      <c r="I25" s="219"/>
      <c r="J25" s="219"/>
      <c r="K25" s="219"/>
      <c r="L25" s="273"/>
      <c r="M25" s="244"/>
      <c r="N25" s="219"/>
      <c r="O25" s="221"/>
    </row>
    <row r="26" spans="1:15" s="272" customFormat="1" ht="24" x14ac:dyDescent="0.3">
      <c r="A26" s="263"/>
      <c r="B26" s="220"/>
      <c r="C26" s="264"/>
      <c r="D26" s="219"/>
      <c r="E26" s="219"/>
      <c r="F26" s="277" t="s">
        <v>366</v>
      </c>
      <c r="G26" s="278" t="s">
        <v>367</v>
      </c>
      <c r="H26" s="279" t="s">
        <v>368</v>
      </c>
      <c r="I26" s="280"/>
      <c r="J26" s="277"/>
      <c r="K26" s="277"/>
      <c r="L26" s="281" t="s">
        <v>369</v>
      </c>
      <c r="M26" s="270"/>
      <c r="N26" s="220"/>
      <c r="O26" s="271"/>
    </row>
    <row r="27" spans="1:15" s="222" customFormat="1" ht="22.8" x14ac:dyDescent="0.3">
      <c r="A27" s="218"/>
      <c r="B27" s="219"/>
      <c r="C27" s="240"/>
      <c r="D27" s="219"/>
      <c r="E27" s="219"/>
      <c r="F27" s="219"/>
      <c r="G27" s="282"/>
      <c r="H27" s="282"/>
      <c r="I27" s="282"/>
      <c r="J27" s="282"/>
      <c r="K27" s="282"/>
      <c r="L27" s="253" t="s">
        <v>370</v>
      </c>
      <c r="M27" s="244"/>
      <c r="N27" s="219"/>
      <c r="O27" s="221"/>
    </row>
    <row r="28" spans="1:15" s="222" customFormat="1" ht="45.6" x14ac:dyDescent="0.3">
      <c r="A28" s="218"/>
      <c r="B28" s="219"/>
      <c r="C28" s="240"/>
      <c r="D28" s="219"/>
      <c r="E28" s="219"/>
      <c r="F28" s="219"/>
      <c r="G28" s="224"/>
      <c r="H28" s="224"/>
      <c r="I28" s="224"/>
      <c r="J28" s="224"/>
      <c r="K28" s="224"/>
      <c r="L28" s="253" t="s">
        <v>371</v>
      </c>
      <c r="M28" s="244"/>
      <c r="N28" s="219"/>
      <c r="O28" s="221"/>
    </row>
    <row r="29" spans="1:15" s="272" customFormat="1" ht="12" x14ac:dyDescent="0.3">
      <c r="A29" s="263"/>
      <c r="B29" s="220"/>
      <c r="C29" s="264"/>
      <c r="D29" s="220"/>
      <c r="E29" s="220"/>
      <c r="F29" s="220"/>
      <c r="G29" s="225"/>
      <c r="H29" s="225"/>
      <c r="I29" s="225"/>
      <c r="J29" s="225"/>
      <c r="K29" s="225"/>
      <c r="L29" s="283" t="s">
        <v>25</v>
      </c>
      <c r="M29" s="270"/>
      <c r="N29" s="220"/>
      <c r="O29" s="271"/>
    </row>
    <row r="30" spans="1:15" s="222" customFormat="1" ht="6" customHeight="1" x14ac:dyDescent="0.3">
      <c r="A30" s="218"/>
      <c r="B30" s="219"/>
      <c r="C30" s="240"/>
      <c r="D30" s="219"/>
      <c r="E30" s="219"/>
      <c r="F30" s="219"/>
      <c r="G30" s="224"/>
      <c r="H30" s="224"/>
      <c r="I30" s="224"/>
      <c r="J30" s="224"/>
      <c r="K30" s="224"/>
      <c r="L30" s="253"/>
      <c r="M30" s="244"/>
      <c r="N30" s="219"/>
      <c r="O30" s="221"/>
    </row>
    <row r="31" spans="1:15" s="222" customFormat="1" ht="45.6" x14ac:dyDescent="0.3">
      <c r="A31" s="218"/>
      <c r="B31" s="219"/>
      <c r="C31" s="240"/>
      <c r="D31" s="219"/>
      <c r="E31" s="219"/>
      <c r="F31" s="219"/>
      <c r="G31" s="224"/>
      <c r="H31" s="224"/>
      <c r="I31" s="224"/>
      <c r="J31" s="224"/>
      <c r="K31" s="224"/>
      <c r="L31" s="253" t="s">
        <v>372</v>
      </c>
      <c r="M31" s="244"/>
      <c r="N31" s="219"/>
      <c r="O31" s="221"/>
    </row>
    <row r="32" spans="1:15" s="272" customFormat="1" ht="12" x14ac:dyDescent="0.3">
      <c r="A32" s="263"/>
      <c r="B32" s="220"/>
      <c r="C32" s="264"/>
      <c r="D32" s="220"/>
      <c r="E32" s="220"/>
      <c r="F32" s="220"/>
      <c r="G32" s="225"/>
      <c r="H32" s="225"/>
      <c r="I32" s="225"/>
      <c r="J32" s="225"/>
      <c r="K32" s="225"/>
      <c r="L32" s="283" t="s">
        <v>373</v>
      </c>
      <c r="M32" s="270"/>
      <c r="N32" s="220"/>
      <c r="O32" s="271"/>
    </row>
    <row r="33" spans="1:15" s="222" customFormat="1" ht="6" customHeight="1" x14ac:dyDescent="0.3">
      <c r="A33" s="218"/>
      <c r="B33" s="219"/>
      <c r="C33" s="240"/>
      <c r="D33" s="219"/>
      <c r="E33" s="219"/>
      <c r="F33" s="219"/>
      <c r="G33" s="224"/>
      <c r="H33" s="224"/>
      <c r="I33" s="224"/>
      <c r="J33" s="224"/>
      <c r="K33" s="224"/>
      <c r="L33" s="253"/>
      <c r="M33" s="244"/>
      <c r="N33" s="219"/>
      <c r="O33" s="221"/>
    </row>
    <row r="34" spans="1:15" s="222" customFormat="1" ht="57" x14ac:dyDescent="0.3">
      <c r="A34" s="218"/>
      <c r="B34" s="219"/>
      <c r="C34" s="240"/>
      <c r="D34" s="219"/>
      <c r="E34" s="219"/>
      <c r="F34" s="219"/>
      <c r="G34" s="224"/>
      <c r="H34" s="224"/>
      <c r="I34" s="224"/>
      <c r="J34" s="224"/>
      <c r="K34" s="224"/>
      <c r="L34" s="253" t="s">
        <v>374</v>
      </c>
      <c r="M34" s="244"/>
      <c r="N34" s="219"/>
      <c r="O34" s="221"/>
    </row>
    <row r="35" spans="1:15" s="272" customFormat="1" ht="12" x14ac:dyDescent="0.3">
      <c r="A35" s="263"/>
      <c r="B35" s="220"/>
      <c r="C35" s="264"/>
      <c r="D35" s="220"/>
      <c r="E35" s="220"/>
      <c r="F35" s="220"/>
      <c r="G35" s="225"/>
      <c r="H35" s="225"/>
      <c r="I35" s="225"/>
      <c r="J35" s="225"/>
      <c r="K35" s="225"/>
      <c r="L35" s="283" t="s">
        <v>26</v>
      </c>
      <c r="M35" s="270"/>
      <c r="N35" s="220"/>
      <c r="O35" s="271"/>
    </row>
    <row r="36" spans="1:15" s="222" customFormat="1" ht="6" customHeight="1" x14ac:dyDescent="0.3">
      <c r="A36" s="218"/>
      <c r="B36" s="219"/>
      <c r="C36" s="240"/>
      <c r="D36" s="219"/>
      <c r="E36" s="219"/>
      <c r="F36" s="219"/>
      <c r="G36" s="224"/>
      <c r="H36" s="224"/>
      <c r="I36" s="224"/>
      <c r="J36" s="224"/>
      <c r="K36" s="224"/>
      <c r="L36" s="253"/>
      <c r="M36" s="244"/>
      <c r="N36" s="219"/>
      <c r="O36" s="221"/>
    </row>
    <row r="37" spans="1:15" s="222" customFormat="1" ht="57" x14ac:dyDescent="0.3">
      <c r="A37" s="218"/>
      <c r="B37" s="219"/>
      <c r="C37" s="240"/>
      <c r="D37" s="219"/>
      <c r="E37" s="219"/>
      <c r="F37" s="219"/>
      <c r="G37" s="224"/>
      <c r="H37" s="224"/>
      <c r="I37" s="224"/>
      <c r="J37" s="224"/>
      <c r="K37" s="224"/>
      <c r="L37" s="253" t="s">
        <v>375</v>
      </c>
      <c r="M37" s="244"/>
      <c r="N37" s="219"/>
      <c r="O37" s="221"/>
    </row>
    <row r="38" spans="1:15" s="222" customFormat="1" ht="6" customHeight="1" x14ac:dyDescent="0.3">
      <c r="A38" s="218"/>
      <c r="B38" s="219"/>
      <c r="C38" s="240"/>
      <c r="D38" s="219"/>
      <c r="E38" s="219"/>
      <c r="F38" s="219"/>
      <c r="G38" s="224"/>
      <c r="H38" s="224"/>
      <c r="I38" s="224"/>
      <c r="J38" s="224"/>
      <c r="K38" s="224"/>
      <c r="L38" s="253"/>
      <c r="M38" s="244"/>
      <c r="N38" s="219"/>
      <c r="O38" s="221"/>
    </row>
    <row r="39" spans="1:15" s="222" customFormat="1" ht="35.4" x14ac:dyDescent="0.3">
      <c r="A39" s="218"/>
      <c r="B39" s="219"/>
      <c r="C39" s="240"/>
      <c r="D39" s="219"/>
      <c r="E39" s="219"/>
      <c r="F39" s="219"/>
      <c r="G39" s="224"/>
      <c r="H39" s="224"/>
      <c r="I39" s="224"/>
      <c r="J39" s="224"/>
      <c r="K39" s="224"/>
      <c r="L39" s="253" t="s">
        <v>376</v>
      </c>
      <c r="M39" s="244"/>
      <c r="N39" s="219"/>
      <c r="O39" s="221"/>
    </row>
    <row r="40" spans="1:15" s="222" customFormat="1" ht="6" customHeight="1" x14ac:dyDescent="0.3">
      <c r="A40" s="218"/>
      <c r="B40" s="219"/>
      <c r="C40" s="240"/>
      <c r="D40" s="219"/>
      <c r="E40" s="219"/>
      <c r="F40" s="219"/>
      <c r="G40" s="224"/>
      <c r="H40" s="224"/>
      <c r="I40" s="224"/>
      <c r="J40" s="224"/>
      <c r="K40" s="224"/>
      <c r="L40" s="253"/>
      <c r="M40" s="244"/>
      <c r="N40" s="219"/>
      <c r="O40" s="221"/>
    </row>
    <row r="41" spans="1:15" s="222" customFormat="1" ht="24" x14ac:dyDescent="0.3">
      <c r="A41" s="218"/>
      <c r="B41" s="219"/>
      <c r="C41" s="240"/>
      <c r="D41" s="219"/>
      <c r="E41" s="219"/>
      <c r="F41" s="219"/>
      <c r="G41" s="224"/>
      <c r="H41" s="224"/>
      <c r="I41" s="224"/>
      <c r="J41" s="224"/>
      <c r="K41" s="224"/>
      <c r="L41" s="253" t="s">
        <v>377</v>
      </c>
      <c r="M41" s="244"/>
      <c r="N41" s="219"/>
      <c r="O41" s="221"/>
    </row>
    <row r="42" spans="1:15" s="222" customFormat="1" ht="6" customHeight="1" x14ac:dyDescent="0.3">
      <c r="A42" s="218"/>
      <c r="B42" s="219"/>
      <c r="C42" s="240"/>
      <c r="D42" s="219"/>
      <c r="E42" s="219"/>
      <c r="F42" s="219"/>
      <c r="G42" s="224"/>
      <c r="H42" s="224"/>
      <c r="I42" s="224"/>
      <c r="J42" s="224"/>
      <c r="K42" s="224"/>
      <c r="L42" s="253"/>
      <c r="M42" s="244"/>
      <c r="N42" s="219"/>
      <c r="O42" s="221"/>
    </row>
    <row r="43" spans="1:15" s="222" customFormat="1" ht="6" customHeight="1" x14ac:dyDescent="0.3">
      <c r="A43" s="218"/>
      <c r="B43" s="219"/>
      <c r="C43" s="240"/>
      <c r="D43" s="219"/>
      <c r="E43" s="219"/>
      <c r="F43" s="219"/>
      <c r="G43" s="224"/>
      <c r="H43" s="224"/>
      <c r="I43" s="224"/>
      <c r="J43" s="224"/>
      <c r="K43" s="224"/>
      <c r="L43" s="253"/>
      <c r="M43" s="244"/>
      <c r="N43" s="219"/>
      <c r="O43" s="221"/>
    </row>
    <row r="44" spans="1:15" s="222" customFormat="1" ht="12" x14ac:dyDescent="0.3">
      <c r="A44" s="218"/>
      <c r="B44" s="219"/>
      <c r="C44" s="240"/>
      <c r="D44" s="219"/>
      <c r="E44" s="219"/>
      <c r="F44" s="219"/>
      <c r="G44" s="266" t="s">
        <v>362</v>
      </c>
      <c r="H44" s="284" t="s">
        <v>378</v>
      </c>
      <c r="I44" s="219"/>
      <c r="J44" s="219"/>
      <c r="K44" s="219"/>
      <c r="L44" s="283" t="s">
        <v>379</v>
      </c>
      <c r="M44" s="244"/>
      <c r="N44" s="219"/>
      <c r="O44" s="221"/>
    </row>
    <row r="45" spans="1:15" s="222" customFormat="1" ht="114" x14ac:dyDescent="0.3">
      <c r="A45" s="218"/>
      <c r="B45" s="219"/>
      <c r="C45" s="240"/>
      <c r="D45" s="219"/>
      <c r="E45" s="219"/>
      <c r="F45" s="219"/>
      <c r="G45" s="219"/>
      <c r="H45" s="219"/>
      <c r="I45" s="219"/>
      <c r="J45" s="219"/>
      <c r="K45" s="219"/>
      <c r="L45" s="253" t="s">
        <v>380</v>
      </c>
      <c r="M45" s="244"/>
      <c r="N45" s="219"/>
      <c r="O45" s="221"/>
    </row>
    <row r="46" spans="1:15" s="222" customFormat="1" ht="6" customHeight="1" x14ac:dyDescent="0.3">
      <c r="A46" s="218"/>
      <c r="B46" s="219"/>
      <c r="C46" s="240"/>
      <c r="D46" s="219"/>
      <c r="E46" s="219"/>
      <c r="F46" s="219"/>
      <c r="G46" s="224"/>
      <c r="H46" s="224"/>
      <c r="I46" s="224"/>
      <c r="J46" s="224"/>
      <c r="K46" s="224"/>
      <c r="L46" s="253"/>
      <c r="M46" s="244"/>
      <c r="N46" s="219"/>
      <c r="O46" s="221"/>
    </row>
    <row r="47" spans="1:15" s="222" customFormat="1" ht="12" x14ac:dyDescent="0.3">
      <c r="A47" s="218"/>
      <c r="B47" s="219"/>
      <c r="C47" s="240"/>
      <c r="D47" s="219"/>
      <c r="E47" s="219"/>
      <c r="F47" s="219"/>
      <c r="G47" s="266" t="s">
        <v>362</v>
      </c>
      <c r="H47" s="284" t="s">
        <v>381</v>
      </c>
      <c r="I47" s="219"/>
      <c r="J47" s="219"/>
      <c r="K47" s="219"/>
      <c r="L47" s="283" t="s">
        <v>382</v>
      </c>
      <c r="M47" s="244"/>
      <c r="N47" s="219"/>
      <c r="O47" s="221"/>
    </row>
    <row r="48" spans="1:15" s="222" customFormat="1" ht="79.8" x14ac:dyDescent="0.3">
      <c r="A48" s="218"/>
      <c r="B48" s="219"/>
      <c r="C48" s="240"/>
      <c r="D48" s="219"/>
      <c r="E48" s="219"/>
      <c r="F48" s="219"/>
      <c r="G48" s="219"/>
      <c r="H48" s="219"/>
      <c r="I48" s="219"/>
      <c r="J48" s="219"/>
      <c r="K48" s="219"/>
      <c r="L48" s="253" t="s">
        <v>383</v>
      </c>
      <c r="M48" s="244"/>
      <c r="N48" s="219"/>
      <c r="O48" s="221"/>
    </row>
    <row r="49" spans="1:15" s="222" customFormat="1" ht="6" customHeight="1" x14ac:dyDescent="0.3">
      <c r="A49" s="218"/>
      <c r="B49" s="219"/>
      <c r="C49" s="240"/>
      <c r="D49" s="219"/>
      <c r="E49" s="219"/>
      <c r="F49" s="219"/>
      <c r="G49" s="224"/>
      <c r="H49" s="224"/>
      <c r="I49" s="224"/>
      <c r="J49" s="224"/>
      <c r="K49" s="224"/>
      <c r="L49" s="253"/>
      <c r="M49" s="244"/>
      <c r="N49" s="219"/>
      <c r="O49" s="221"/>
    </row>
    <row r="50" spans="1:15" s="222" customFormat="1" ht="12" x14ac:dyDescent="0.3">
      <c r="A50" s="218"/>
      <c r="B50" s="219"/>
      <c r="C50" s="240"/>
      <c r="D50" s="219"/>
      <c r="E50" s="219"/>
      <c r="F50" s="219"/>
      <c r="G50" s="266" t="s">
        <v>362</v>
      </c>
      <c r="H50" s="284" t="s">
        <v>384</v>
      </c>
      <c r="I50" s="219"/>
      <c r="J50" s="219"/>
      <c r="K50" s="219"/>
      <c r="L50" s="283" t="s">
        <v>385</v>
      </c>
      <c r="M50" s="244"/>
      <c r="N50" s="219"/>
      <c r="O50" s="221"/>
    </row>
    <row r="51" spans="1:15" s="222" customFormat="1" ht="102.6" x14ac:dyDescent="0.3">
      <c r="A51" s="218"/>
      <c r="B51" s="219"/>
      <c r="C51" s="240"/>
      <c r="D51" s="219"/>
      <c r="E51" s="219"/>
      <c r="F51" s="219"/>
      <c r="G51" s="219"/>
      <c r="H51" s="219"/>
      <c r="I51" s="219"/>
      <c r="J51" s="219"/>
      <c r="K51" s="219"/>
      <c r="L51" s="253" t="s">
        <v>386</v>
      </c>
      <c r="M51" s="244"/>
      <c r="N51" s="219"/>
      <c r="O51" s="221"/>
    </row>
    <row r="52" spans="1:15" s="222" customFormat="1" ht="6" customHeight="1" x14ac:dyDescent="0.3">
      <c r="A52" s="218"/>
      <c r="B52" s="219"/>
      <c r="C52" s="240"/>
      <c r="D52" s="219"/>
      <c r="E52" s="219"/>
      <c r="F52" s="219"/>
      <c r="G52" s="224"/>
      <c r="H52" s="224"/>
      <c r="I52" s="224"/>
      <c r="J52" s="224"/>
      <c r="K52" s="224"/>
      <c r="L52" s="253"/>
      <c r="M52" s="244"/>
      <c r="N52" s="219"/>
      <c r="O52" s="221"/>
    </row>
    <row r="53" spans="1:15" s="222" customFormat="1" ht="12" x14ac:dyDescent="0.3">
      <c r="A53" s="218"/>
      <c r="B53" s="219"/>
      <c r="C53" s="240"/>
      <c r="D53" s="219"/>
      <c r="E53" s="219"/>
      <c r="F53" s="219"/>
      <c r="G53" s="266" t="s">
        <v>387</v>
      </c>
      <c r="H53" s="285" t="s">
        <v>388</v>
      </c>
      <c r="I53" s="219"/>
      <c r="J53" s="219"/>
      <c r="K53" s="219"/>
      <c r="L53" s="283" t="s">
        <v>389</v>
      </c>
      <c r="M53" s="244"/>
      <c r="N53" s="219"/>
      <c r="O53" s="221"/>
    </row>
    <row r="54" spans="1:15" s="222" customFormat="1" ht="57" x14ac:dyDescent="0.3">
      <c r="A54" s="218"/>
      <c r="B54" s="219"/>
      <c r="C54" s="240"/>
      <c r="D54" s="219"/>
      <c r="E54" s="219"/>
      <c r="F54" s="219"/>
      <c r="G54" s="219"/>
      <c r="H54" s="219"/>
      <c r="I54" s="219"/>
      <c r="J54" s="219"/>
      <c r="K54" s="219"/>
      <c r="L54" s="253" t="s">
        <v>390</v>
      </c>
      <c r="M54" s="244"/>
      <c r="N54" s="219"/>
      <c r="O54" s="221"/>
    </row>
    <row r="55" spans="1:15" s="222" customFormat="1" ht="6" customHeight="1" x14ac:dyDescent="0.3">
      <c r="A55" s="218"/>
      <c r="B55" s="219"/>
      <c r="C55" s="240"/>
      <c r="D55" s="219"/>
      <c r="E55" s="219"/>
      <c r="F55" s="219"/>
      <c r="G55" s="224"/>
      <c r="H55" s="224"/>
      <c r="I55" s="224"/>
      <c r="J55" s="224"/>
      <c r="K55" s="224"/>
      <c r="L55" s="253"/>
      <c r="M55" s="244"/>
      <c r="N55" s="219"/>
      <c r="O55" s="221"/>
    </row>
    <row r="56" spans="1:15" s="222" customFormat="1" ht="34.200000000000003" x14ac:dyDescent="0.3">
      <c r="A56" s="218"/>
      <c r="B56" s="219"/>
      <c r="C56" s="240"/>
      <c r="D56" s="219"/>
      <c r="E56" s="219"/>
      <c r="F56" s="219"/>
      <c r="G56" s="225" t="s">
        <v>391</v>
      </c>
      <c r="H56" s="224"/>
      <c r="I56" s="224"/>
      <c r="J56" s="224"/>
      <c r="K56" s="224"/>
      <c r="L56" s="253" t="s">
        <v>392</v>
      </c>
      <c r="M56" s="244"/>
      <c r="N56" s="219"/>
      <c r="O56" s="221"/>
    </row>
    <row r="57" spans="1:15" s="222" customFormat="1" ht="6" customHeight="1" x14ac:dyDescent="0.3">
      <c r="A57" s="218"/>
      <c r="B57" s="219"/>
      <c r="C57" s="240"/>
      <c r="D57" s="219"/>
      <c r="E57" s="219"/>
      <c r="F57" s="219"/>
      <c r="G57" s="224"/>
      <c r="H57" s="224"/>
      <c r="I57" s="224"/>
      <c r="J57" s="224"/>
      <c r="K57" s="224"/>
      <c r="L57" s="253"/>
      <c r="M57" s="244"/>
      <c r="N57" s="219"/>
      <c r="O57" s="221"/>
    </row>
    <row r="58" spans="1:15" s="222" customFormat="1" ht="45.6" x14ac:dyDescent="0.3">
      <c r="A58" s="218"/>
      <c r="B58" s="219"/>
      <c r="C58" s="240"/>
      <c r="D58" s="219"/>
      <c r="E58" s="219"/>
      <c r="F58" s="219"/>
      <c r="G58" s="224"/>
      <c r="H58" s="224"/>
      <c r="I58" s="224"/>
      <c r="J58" s="224"/>
      <c r="K58" s="224"/>
      <c r="L58" s="253" t="s">
        <v>393</v>
      </c>
      <c r="M58" s="244"/>
      <c r="N58" s="219"/>
      <c r="O58" s="221"/>
    </row>
    <row r="59" spans="1:15" s="222" customFormat="1" ht="6" customHeight="1" x14ac:dyDescent="0.3">
      <c r="A59" s="218"/>
      <c r="B59" s="219"/>
      <c r="C59" s="240"/>
      <c r="D59" s="219"/>
      <c r="E59" s="219"/>
      <c r="F59" s="219"/>
      <c r="G59" s="224"/>
      <c r="H59" s="224"/>
      <c r="I59" s="224"/>
      <c r="J59" s="224"/>
      <c r="K59" s="224"/>
      <c r="L59" s="253"/>
      <c r="M59" s="244"/>
      <c r="N59" s="219"/>
      <c r="O59" s="221"/>
    </row>
    <row r="60" spans="1:15" s="222" customFormat="1" ht="57" x14ac:dyDescent="0.3">
      <c r="A60" s="218"/>
      <c r="B60" s="219"/>
      <c r="C60" s="240"/>
      <c r="D60" s="219"/>
      <c r="E60" s="219"/>
      <c r="F60" s="219"/>
      <c r="G60" s="224"/>
      <c r="H60" s="224"/>
      <c r="I60" s="224"/>
      <c r="J60" s="224"/>
      <c r="K60" s="224"/>
      <c r="L60" s="253" t="s">
        <v>394</v>
      </c>
      <c r="M60" s="244"/>
      <c r="N60" s="219"/>
      <c r="O60" s="221"/>
    </row>
    <row r="61" spans="1:15" s="222" customFormat="1" ht="6" customHeight="1" x14ac:dyDescent="0.3">
      <c r="A61" s="218"/>
      <c r="B61" s="219"/>
      <c r="C61" s="240"/>
      <c r="D61" s="219"/>
      <c r="E61" s="219"/>
      <c r="F61" s="219"/>
      <c r="G61" s="224"/>
      <c r="H61" s="224"/>
      <c r="I61" s="224"/>
      <c r="J61" s="224"/>
      <c r="K61" s="224"/>
      <c r="L61" s="253"/>
      <c r="M61" s="244"/>
      <c r="N61" s="219"/>
      <c r="O61" s="221"/>
    </row>
    <row r="62" spans="1:15" s="222" customFormat="1" ht="57" x14ac:dyDescent="0.3">
      <c r="A62" s="218"/>
      <c r="B62" s="219"/>
      <c r="C62" s="240"/>
      <c r="D62" s="219"/>
      <c r="E62" s="219"/>
      <c r="F62" s="219"/>
      <c r="G62" s="224"/>
      <c r="H62" s="224"/>
      <c r="I62" s="224"/>
      <c r="J62" s="224"/>
      <c r="K62" s="224"/>
      <c r="L62" s="253" t="s">
        <v>395</v>
      </c>
      <c r="M62" s="244"/>
      <c r="N62" s="219"/>
      <c r="O62" s="221"/>
    </row>
    <row r="63" spans="1:15" s="222" customFormat="1" ht="6" customHeight="1" x14ac:dyDescent="0.3">
      <c r="A63" s="218"/>
      <c r="B63" s="219"/>
      <c r="C63" s="240"/>
      <c r="D63" s="219"/>
      <c r="E63" s="219"/>
      <c r="F63" s="219"/>
      <c r="G63" s="224"/>
      <c r="H63" s="224"/>
      <c r="I63" s="224"/>
      <c r="J63" s="224"/>
      <c r="K63" s="224"/>
      <c r="L63" s="253"/>
      <c r="M63" s="244"/>
      <c r="N63" s="219"/>
      <c r="O63" s="221"/>
    </row>
    <row r="64" spans="1:15" s="222" customFormat="1" ht="11.4" x14ac:dyDescent="0.3">
      <c r="A64" s="218"/>
      <c r="B64" s="219"/>
      <c r="C64" s="240"/>
      <c r="D64" s="219"/>
      <c r="E64" s="219"/>
      <c r="F64" s="219"/>
      <c r="G64" s="224"/>
      <c r="H64" s="224"/>
      <c r="I64" s="224"/>
      <c r="J64" s="224"/>
      <c r="K64" s="224"/>
      <c r="L64" s="253" t="s">
        <v>396</v>
      </c>
      <c r="M64" s="244"/>
      <c r="N64" s="219"/>
      <c r="O64" s="221"/>
    </row>
    <row r="65" spans="1:15" s="222" customFormat="1" ht="22.8" x14ac:dyDescent="0.3">
      <c r="A65" s="218"/>
      <c r="B65" s="219"/>
      <c r="C65" s="240"/>
      <c r="D65" s="219"/>
      <c r="E65" s="219"/>
      <c r="F65" s="219"/>
      <c r="G65" s="224"/>
      <c r="H65" s="224"/>
      <c r="I65" s="224"/>
      <c r="J65" s="224"/>
      <c r="K65" s="224"/>
      <c r="L65" s="286" t="s">
        <v>397</v>
      </c>
      <c r="M65" s="244"/>
      <c r="N65" s="219"/>
      <c r="O65" s="221"/>
    </row>
    <row r="66" spans="1:15" s="222" customFormat="1" ht="6" customHeight="1" x14ac:dyDescent="0.3">
      <c r="A66" s="218"/>
      <c r="B66" s="219"/>
      <c r="C66" s="240"/>
      <c r="D66" s="219"/>
      <c r="E66" s="219"/>
      <c r="F66" s="219"/>
      <c r="G66" s="224"/>
      <c r="H66" s="224"/>
      <c r="I66" s="224"/>
      <c r="J66" s="224"/>
      <c r="K66" s="224"/>
      <c r="L66" s="253"/>
      <c r="M66" s="244"/>
      <c r="N66" s="219"/>
      <c r="O66" s="221"/>
    </row>
    <row r="67" spans="1:15" s="222" customFormat="1" ht="57.6" x14ac:dyDescent="0.3">
      <c r="A67" s="218"/>
      <c r="B67" s="219"/>
      <c r="C67" s="240"/>
      <c r="D67" s="219"/>
      <c r="E67" s="219"/>
      <c r="F67" s="219"/>
      <c r="G67" s="224"/>
      <c r="H67" s="224"/>
      <c r="I67" s="224"/>
      <c r="J67" s="224"/>
      <c r="K67" s="224"/>
      <c r="L67" s="253" t="s">
        <v>398</v>
      </c>
      <c r="M67" s="244"/>
      <c r="N67" s="219"/>
      <c r="O67" s="221"/>
    </row>
    <row r="68" spans="1:15" s="222" customFormat="1" ht="6" customHeight="1" x14ac:dyDescent="0.3">
      <c r="A68" s="218"/>
      <c r="B68" s="219"/>
      <c r="C68" s="240"/>
      <c r="D68" s="219"/>
      <c r="E68" s="219"/>
      <c r="F68" s="219"/>
      <c r="G68" s="224"/>
      <c r="H68" s="224"/>
      <c r="I68" s="224"/>
      <c r="J68" s="224"/>
      <c r="K68" s="224"/>
      <c r="L68" s="253"/>
      <c r="M68" s="244"/>
      <c r="N68" s="219"/>
      <c r="O68" s="221"/>
    </row>
    <row r="69" spans="1:15" s="222" customFormat="1" ht="68.400000000000006" x14ac:dyDescent="0.3">
      <c r="A69" s="218"/>
      <c r="B69" s="219"/>
      <c r="C69" s="240"/>
      <c r="D69" s="219"/>
      <c r="E69" s="219"/>
      <c r="F69" s="219"/>
      <c r="G69" s="274"/>
      <c r="H69" s="274"/>
      <c r="I69" s="274" t="s">
        <v>399</v>
      </c>
      <c r="J69" s="274"/>
      <c r="K69" s="274"/>
      <c r="L69" s="253" t="s">
        <v>400</v>
      </c>
      <c r="M69" s="244"/>
      <c r="N69" s="219"/>
      <c r="O69" s="221"/>
    </row>
    <row r="70" spans="1:15" s="222" customFormat="1" ht="6" customHeight="1" x14ac:dyDescent="0.3">
      <c r="A70" s="218"/>
      <c r="B70" s="219"/>
      <c r="C70" s="240"/>
      <c r="D70" s="219"/>
      <c r="E70" s="219"/>
      <c r="F70" s="219"/>
      <c r="G70" s="224"/>
      <c r="H70" s="224"/>
      <c r="I70" s="224"/>
      <c r="J70" s="224"/>
      <c r="K70" s="224"/>
      <c r="L70" s="253"/>
      <c r="M70" s="244"/>
      <c r="N70" s="219"/>
      <c r="O70" s="221"/>
    </row>
    <row r="71" spans="1:15" s="222" customFormat="1" ht="69.599999999999994" x14ac:dyDescent="0.3">
      <c r="A71" s="218"/>
      <c r="B71" s="219"/>
      <c r="C71" s="240"/>
      <c r="D71" s="219"/>
      <c r="E71" s="219"/>
      <c r="F71" s="219"/>
      <c r="G71" s="274"/>
      <c r="H71" s="274"/>
      <c r="I71" s="274" t="s">
        <v>401</v>
      </c>
      <c r="J71" s="274"/>
      <c r="K71" s="274"/>
      <c r="L71" s="253" t="s">
        <v>402</v>
      </c>
      <c r="M71" s="244"/>
      <c r="N71" s="219"/>
      <c r="O71" s="221"/>
    </row>
    <row r="72" spans="1:15" s="222" customFormat="1" ht="6" customHeight="1" x14ac:dyDescent="0.3">
      <c r="A72" s="218"/>
      <c r="B72" s="219"/>
      <c r="C72" s="240"/>
      <c r="D72" s="219"/>
      <c r="E72" s="219"/>
      <c r="F72" s="219"/>
      <c r="G72" s="224"/>
      <c r="H72" s="224"/>
      <c r="I72" s="224"/>
      <c r="J72" s="224"/>
      <c r="K72" s="224"/>
      <c r="L72" s="253"/>
      <c r="M72" s="244"/>
      <c r="N72" s="219"/>
      <c r="O72" s="221"/>
    </row>
    <row r="73" spans="1:15" s="222" customFormat="1" ht="91.2" x14ac:dyDescent="0.3">
      <c r="A73" s="218"/>
      <c r="B73" s="219"/>
      <c r="C73" s="240"/>
      <c r="D73" s="219"/>
      <c r="E73" s="219"/>
      <c r="F73" s="219"/>
      <c r="G73" s="274"/>
      <c r="H73" s="274"/>
      <c r="I73" s="274" t="s">
        <v>403</v>
      </c>
      <c r="J73" s="274"/>
      <c r="K73" s="274"/>
      <c r="L73" s="253" t="s">
        <v>404</v>
      </c>
      <c r="M73" s="244"/>
      <c r="N73" s="219"/>
      <c r="O73" s="221"/>
    </row>
    <row r="74" spans="1:15" s="222" customFormat="1" ht="6" customHeight="1" x14ac:dyDescent="0.3">
      <c r="A74" s="218"/>
      <c r="B74" s="219"/>
      <c r="C74" s="240"/>
      <c r="D74" s="219"/>
      <c r="E74" s="219"/>
      <c r="F74" s="219"/>
      <c r="G74" s="224"/>
      <c r="H74" s="224"/>
      <c r="I74" s="224"/>
      <c r="J74" s="224"/>
      <c r="K74" s="224"/>
      <c r="L74" s="253"/>
      <c r="M74" s="244"/>
      <c r="N74" s="219"/>
      <c r="O74" s="221"/>
    </row>
    <row r="75" spans="1:15" s="222" customFormat="1" ht="48" x14ac:dyDescent="0.3">
      <c r="A75" s="218"/>
      <c r="B75" s="219"/>
      <c r="C75" s="240"/>
      <c r="D75" s="219"/>
      <c r="E75" s="219"/>
      <c r="F75" s="219"/>
      <c r="G75" s="224"/>
      <c r="H75" s="224"/>
      <c r="I75" s="224"/>
      <c r="J75" s="224"/>
      <c r="K75" s="224"/>
      <c r="L75" s="283" t="s">
        <v>405</v>
      </c>
      <c r="M75" s="244"/>
      <c r="N75" s="219"/>
      <c r="O75" s="221"/>
    </row>
    <row r="76" spans="1:15" s="222" customFormat="1" ht="6" customHeight="1" x14ac:dyDescent="0.3">
      <c r="A76" s="218"/>
      <c r="B76" s="219"/>
      <c r="C76" s="240"/>
      <c r="D76" s="219"/>
      <c r="E76" s="219"/>
      <c r="F76" s="219"/>
      <c r="G76" s="224"/>
      <c r="H76" s="224"/>
      <c r="I76" s="224"/>
      <c r="J76" s="224"/>
      <c r="K76" s="224"/>
      <c r="L76" s="253"/>
      <c r="M76" s="244"/>
      <c r="N76" s="219"/>
      <c r="O76" s="221"/>
    </row>
    <row r="77" spans="1:15" s="272" customFormat="1" ht="12" x14ac:dyDescent="0.3">
      <c r="A77" s="263"/>
      <c r="B77" s="220"/>
      <c r="C77" s="264"/>
      <c r="D77" s="220" t="s">
        <v>361</v>
      </c>
      <c r="E77" s="220"/>
      <c r="F77" s="287" t="s">
        <v>23</v>
      </c>
      <c r="G77" s="266"/>
      <c r="H77" s="288"/>
      <c r="I77" s="268"/>
      <c r="J77" s="220"/>
      <c r="K77" s="220"/>
      <c r="L77" s="276" t="s">
        <v>406</v>
      </c>
      <c r="M77" s="270"/>
      <c r="N77" s="220"/>
      <c r="O77" s="271"/>
    </row>
    <row r="78" spans="1:15" s="222" customFormat="1" ht="139.80000000000001" x14ac:dyDescent="0.3">
      <c r="A78" s="218"/>
      <c r="B78" s="219"/>
      <c r="C78" s="240"/>
      <c r="D78" s="219"/>
      <c r="E78" s="219"/>
      <c r="F78" s="219"/>
      <c r="G78" s="219"/>
      <c r="H78" s="219"/>
      <c r="I78" s="219"/>
      <c r="J78" s="219"/>
      <c r="K78" s="219"/>
      <c r="L78" s="253" t="s">
        <v>407</v>
      </c>
      <c r="M78" s="244"/>
      <c r="N78" s="219"/>
      <c r="O78" s="221"/>
    </row>
    <row r="79" spans="1:15" s="222" customFormat="1" ht="6" customHeight="1" x14ac:dyDescent="0.3">
      <c r="A79" s="218"/>
      <c r="B79" s="219"/>
      <c r="C79" s="240"/>
      <c r="D79" s="219"/>
      <c r="E79" s="219"/>
      <c r="F79" s="219"/>
      <c r="G79" s="224"/>
      <c r="H79" s="224"/>
      <c r="I79" s="224"/>
      <c r="J79" s="224"/>
      <c r="K79" s="224"/>
      <c r="L79" s="253"/>
      <c r="M79" s="244"/>
      <c r="N79" s="219"/>
      <c r="O79" s="221"/>
    </row>
    <row r="80" spans="1:15" s="222" customFormat="1" ht="34.200000000000003" x14ac:dyDescent="0.3">
      <c r="A80" s="218"/>
      <c r="B80" s="219"/>
      <c r="C80" s="240"/>
      <c r="D80" s="219"/>
      <c r="E80" s="219"/>
      <c r="F80" s="219"/>
      <c r="G80" s="274"/>
      <c r="H80" s="274"/>
      <c r="I80" s="289" t="s">
        <v>408</v>
      </c>
      <c r="J80" s="274"/>
      <c r="K80" s="274"/>
      <c r="L80" s="253" t="s">
        <v>409</v>
      </c>
      <c r="M80" s="244"/>
      <c r="N80" s="219"/>
      <c r="O80" s="221"/>
    </row>
    <row r="81" spans="1:15" s="222" customFormat="1" ht="72" x14ac:dyDescent="0.3">
      <c r="A81" s="218"/>
      <c r="B81" s="219"/>
      <c r="C81" s="240"/>
      <c r="D81" s="219"/>
      <c r="E81" s="219"/>
      <c r="F81" s="219"/>
      <c r="G81" s="224"/>
      <c r="H81" s="224"/>
      <c r="I81" s="224"/>
      <c r="J81" s="224"/>
      <c r="K81" s="224"/>
      <c r="L81" s="290" t="s">
        <v>410</v>
      </c>
      <c r="M81" s="244"/>
      <c r="N81" s="219"/>
      <c r="O81" s="221"/>
    </row>
    <row r="82" spans="1:15" s="222" customFormat="1" ht="6" customHeight="1" x14ac:dyDescent="0.3">
      <c r="A82" s="218"/>
      <c r="B82" s="219"/>
      <c r="C82" s="240"/>
      <c r="D82" s="219"/>
      <c r="E82" s="219"/>
      <c r="F82" s="219"/>
      <c r="G82" s="224"/>
      <c r="H82" s="224"/>
      <c r="I82" s="224"/>
      <c r="J82" s="224"/>
      <c r="K82" s="224"/>
      <c r="L82" s="253"/>
      <c r="M82" s="244"/>
      <c r="N82" s="219"/>
      <c r="O82" s="221"/>
    </row>
    <row r="83" spans="1:15" s="222" customFormat="1" ht="6" customHeight="1" x14ac:dyDescent="0.3">
      <c r="A83" s="218"/>
      <c r="B83" s="219"/>
      <c r="C83" s="240"/>
      <c r="D83" s="219"/>
      <c r="E83" s="219"/>
      <c r="F83" s="219"/>
      <c r="G83" s="224"/>
      <c r="H83" s="224"/>
      <c r="I83" s="224"/>
      <c r="J83" s="224"/>
      <c r="K83" s="224"/>
      <c r="L83" s="253"/>
      <c r="M83" s="244"/>
      <c r="N83" s="219"/>
      <c r="O83" s="221"/>
    </row>
    <row r="84" spans="1:15" s="222" customFormat="1" ht="11.4" x14ac:dyDescent="0.3">
      <c r="A84" s="218"/>
      <c r="B84" s="219"/>
      <c r="C84" s="240"/>
      <c r="D84" s="219"/>
      <c r="E84" s="219"/>
      <c r="F84" s="219"/>
      <c r="G84" s="224"/>
      <c r="H84" s="224"/>
      <c r="I84" s="224"/>
      <c r="J84" s="224"/>
      <c r="K84" s="224"/>
      <c r="L84" s="253"/>
      <c r="M84" s="244"/>
      <c r="N84" s="219"/>
      <c r="O84" s="221"/>
    </row>
    <row r="85" spans="1:15" ht="6" customHeight="1" x14ac:dyDescent="0.3">
      <c r="A85" s="229"/>
      <c r="B85" s="214"/>
      <c r="C85" s="259"/>
      <c r="D85" s="260"/>
      <c r="E85" s="260"/>
      <c r="F85" s="260"/>
      <c r="G85" s="260"/>
      <c r="H85" s="260"/>
      <c r="I85" s="260"/>
      <c r="J85" s="260"/>
      <c r="K85" s="260"/>
      <c r="L85" s="261"/>
      <c r="M85" s="262"/>
      <c r="N85" s="214"/>
      <c r="O85" s="217"/>
    </row>
    <row r="86" spans="1:15" ht="6" customHeight="1" x14ac:dyDescent="0.3">
      <c r="A86" s="229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31"/>
      <c r="M86" s="214"/>
      <c r="N86" s="214"/>
      <c r="O86" s="217"/>
    </row>
    <row r="87" spans="1:15" x14ac:dyDescent="0.3">
      <c r="A87" s="229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31"/>
      <c r="M87" s="214"/>
      <c r="N87" s="214"/>
      <c r="O87" s="217"/>
    </row>
    <row r="88" spans="1:15" ht="6" customHeight="1" x14ac:dyDescent="0.3">
      <c r="A88" s="291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3"/>
      <c r="M88" s="292"/>
      <c r="N88" s="292"/>
      <c r="O88" s="294"/>
    </row>
  </sheetData>
  <conditionalFormatting sqref="I11 I13">
    <cfRule type="containsBlanks" dxfId="499" priority="1">
      <formula>LEN(TRIM(I11))=0</formula>
    </cfRule>
  </conditionalFormatting>
  <hyperlinks>
    <hyperlink ref="A2:E2" location="оглавление!A1" tooltip="в оглавление" display="оглавление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8"/>
  <sheetViews>
    <sheetView showGridLines="0" workbookViewId="0">
      <pane ySplit="9" topLeftCell="A10" activePane="bottomLeft" state="frozen"/>
      <selection pane="bottomLeft" activeCell="B7" sqref="B7"/>
    </sheetView>
  </sheetViews>
  <sheetFormatPr defaultColWidth="9.109375" defaultRowHeight="12" x14ac:dyDescent="0.25"/>
  <cols>
    <col min="1" max="3" width="2.6640625" style="2" customWidth="1"/>
    <col min="4" max="4" width="16" style="2" bestFit="1" customWidth="1"/>
    <col min="5" max="6" width="1.6640625" style="2" customWidth="1"/>
    <col min="7" max="7" width="47.5546875" style="2" bestFit="1" customWidth="1"/>
    <col min="8" max="9" width="1.6640625" style="2" customWidth="1"/>
    <col min="10" max="10" width="6.109375" style="2" bestFit="1" customWidth="1"/>
    <col min="11" max="12" width="1.6640625" style="2" customWidth="1"/>
    <col min="13" max="13" width="6.109375" style="2" bestFit="1" customWidth="1"/>
    <col min="14" max="15" width="1.6640625" style="2" customWidth="1"/>
    <col min="16" max="16" width="57" style="2" bestFit="1" customWidth="1"/>
    <col min="17" max="18" width="1.6640625" style="2" customWidth="1"/>
    <col min="19" max="29" width="9.109375" style="2"/>
    <col min="30" max="31" width="1.6640625" style="2" customWidth="1"/>
    <col min="32" max="16384" width="9.109375" style="2"/>
  </cols>
  <sheetData>
    <row r="1" spans="1:3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71">
        <f>BS!$C$8</f>
        <v>4.6566128730773926E-10</v>
      </c>
      <c r="C2" s="191" t="str">
        <f>структура!$P$12</f>
        <v>контроль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1" customFormat="1" x14ac:dyDescent="0.25">
      <c r="A3" s="10"/>
      <c r="B3" s="10"/>
      <c r="C3" s="10" t="str">
        <f>оглавление!$D$3</f>
        <v>Финмодель инвестиционного проекта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1" customFormat="1" x14ac:dyDescent="0.25">
      <c r="A4" s="10"/>
      <c r="B4" s="10"/>
      <c r="C4" s="10" t="str">
        <f>оглавление!$D$4</f>
        <v>Укрупненная схема с инвестиционным анализом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1" customFormat="1" x14ac:dyDescent="0.25">
      <c r="A5" s="10"/>
      <c r="B5" s="10"/>
      <c r="C5" s="10" t="str">
        <f>оглавление!$D$5</f>
        <v>Регион: РФ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1" customFormat="1" x14ac:dyDescent="0.25">
      <c r="A6" s="10"/>
      <c r="B6" s="10"/>
      <c r="C6" s="10" t="str">
        <f>оглавление!$D$6</f>
        <v>Юр/лица: одно юр/лицо + Инвестор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3"/>
      <c r="B7" s="3"/>
      <c r="C7" s="13" t="str">
        <f>оглавление!$F$57</f>
        <v>Структурные характеристики модели</v>
      </c>
      <c r="D7" s="14"/>
      <c r="E7" s="15"/>
      <c r="F7" s="16"/>
      <c r="G7" s="16"/>
      <c r="H7" s="10"/>
      <c r="I7" s="10"/>
      <c r="J7" s="10"/>
      <c r="K7" s="10"/>
      <c r="L7" s="10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11" customFormat="1" x14ac:dyDescent="0.25">
      <c r="A9" s="10"/>
      <c r="B9" s="10"/>
      <c r="C9" s="10"/>
      <c r="D9" s="17" t="s">
        <v>5</v>
      </c>
      <c r="E9" s="10"/>
      <c r="F9" s="10"/>
      <c r="G9" s="17" t="s">
        <v>7</v>
      </c>
      <c r="H9" s="10"/>
      <c r="I9" s="10"/>
      <c r="J9" s="17" t="s">
        <v>10</v>
      </c>
      <c r="K9" s="10"/>
      <c r="L9" s="10"/>
      <c r="M9" s="17" t="s">
        <v>27</v>
      </c>
      <c r="N9" s="10"/>
      <c r="O9" s="10"/>
      <c r="P9" s="17" t="s">
        <v>18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A10" s="3"/>
      <c r="B10" s="3"/>
      <c r="C10" s="3"/>
      <c r="D10" s="18" t="s">
        <v>21</v>
      </c>
      <c r="E10" s="3"/>
      <c r="F10" s="3"/>
      <c r="G10" s="18" t="s">
        <v>9</v>
      </c>
      <c r="H10" s="3"/>
      <c r="I10" s="3"/>
      <c r="J10" s="18" t="s">
        <v>9</v>
      </c>
      <c r="K10" s="3"/>
      <c r="L10" s="3"/>
      <c r="M10" s="18" t="s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3"/>
      <c r="D11" s="19">
        <v>44197</v>
      </c>
      <c r="E11" s="3"/>
      <c r="F11" s="3"/>
      <c r="G11" s="4" t="s">
        <v>25</v>
      </c>
      <c r="H11" s="3"/>
      <c r="I11" s="3"/>
      <c r="J11" s="4">
        <v>1</v>
      </c>
      <c r="K11" s="3"/>
      <c r="L11" s="3"/>
      <c r="M11" s="18" t="s">
        <v>28</v>
      </c>
      <c r="N11" s="3"/>
      <c r="O11" s="3"/>
      <c r="P11" s="4" t="s">
        <v>19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19">
        <v>44562</v>
      </c>
      <c r="E12" s="3"/>
      <c r="F12" s="3"/>
      <c r="G12" s="4" t="s">
        <v>24</v>
      </c>
      <c r="H12" s="3"/>
      <c r="I12" s="3"/>
      <c r="J12" s="4">
        <v>2</v>
      </c>
      <c r="K12" s="3"/>
      <c r="L12" s="3"/>
      <c r="M12" s="18" t="s">
        <v>29</v>
      </c>
      <c r="N12" s="3"/>
      <c r="O12" s="3"/>
      <c r="P12" s="4" t="s">
        <v>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3"/>
      <c r="D13" s="19">
        <v>44927</v>
      </c>
      <c r="E13" s="3"/>
      <c r="F13" s="3"/>
      <c r="G13" s="4" t="s">
        <v>26</v>
      </c>
      <c r="H13" s="3"/>
      <c r="I13" s="3"/>
      <c r="J13" s="4">
        <v>3</v>
      </c>
      <c r="K13" s="3"/>
      <c r="L13" s="3"/>
      <c r="M13" s="18" t="s">
        <v>30</v>
      </c>
      <c r="N13" s="3"/>
      <c r="O13" s="3"/>
      <c r="P13" s="4" t="s">
        <v>300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3"/>
      <c r="D14" s="19">
        <v>45292</v>
      </c>
      <c r="E14" s="3"/>
      <c r="F14" s="3"/>
      <c r="G14" s="4"/>
      <c r="H14" s="3"/>
      <c r="I14" s="3"/>
      <c r="J14" s="4">
        <v>4</v>
      </c>
      <c r="K14" s="3"/>
      <c r="L14" s="3"/>
      <c r="M14" s="18" t="s">
        <v>31</v>
      </c>
      <c r="N14" s="3"/>
      <c r="O14" s="3"/>
      <c r="P14" s="4" t="s">
        <v>301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19">
        <v>45658</v>
      </c>
      <c r="E15" s="3"/>
      <c r="F15" s="3"/>
      <c r="G15" s="4"/>
      <c r="H15" s="3"/>
      <c r="I15" s="3"/>
      <c r="J15" s="4">
        <v>5</v>
      </c>
      <c r="K15" s="3"/>
      <c r="L15" s="3"/>
      <c r="M15" s="18" t="s">
        <v>8</v>
      </c>
      <c r="N15" s="3"/>
      <c r="O15" s="3"/>
      <c r="P15" s="4" t="s">
        <v>305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19">
        <v>46023</v>
      </c>
      <c r="E16" s="3"/>
      <c r="F16" s="3"/>
      <c r="G16" s="3"/>
      <c r="H16" s="3"/>
      <c r="I16" s="3"/>
      <c r="J16" s="4">
        <v>6</v>
      </c>
      <c r="K16" s="3"/>
      <c r="L16" s="3"/>
      <c r="M16" s="18" t="s">
        <v>32</v>
      </c>
      <c r="N16" s="3"/>
      <c r="O16" s="3"/>
      <c r="P16" s="4" t="s">
        <v>308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3"/>
      <c r="D17" s="19"/>
      <c r="E17" s="3"/>
      <c r="F17" s="3"/>
      <c r="G17" s="3"/>
      <c r="H17" s="3"/>
      <c r="I17" s="3"/>
      <c r="J17" s="4">
        <v>7</v>
      </c>
      <c r="K17" s="3"/>
      <c r="L17" s="3"/>
      <c r="M17" s="18" t="s">
        <v>33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19"/>
      <c r="E18" s="3"/>
      <c r="F18" s="3"/>
      <c r="G18" s="3"/>
      <c r="H18" s="3"/>
      <c r="I18" s="3"/>
      <c r="J18" s="4">
        <v>8</v>
      </c>
      <c r="K18" s="3"/>
      <c r="L18" s="3"/>
      <c r="M18" s="18" t="s">
        <v>34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3"/>
      <c r="D19" s="20"/>
      <c r="E19" s="3"/>
      <c r="F19" s="3"/>
      <c r="G19" s="3"/>
      <c r="H19" s="3"/>
      <c r="I19" s="3"/>
      <c r="J19" s="4">
        <v>9</v>
      </c>
      <c r="K19" s="3"/>
      <c r="L19" s="3"/>
      <c r="M19" s="18" t="s">
        <v>35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3"/>
      <c r="J20" s="4">
        <v>10</v>
      </c>
      <c r="K20" s="3"/>
      <c r="L20" s="3"/>
      <c r="M20" s="18" t="s">
        <v>36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3"/>
      <c r="J21" s="4">
        <v>11</v>
      </c>
      <c r="K21" s="3"/>
      <c r="L21" s="3"/>
      <c r="M21" s="18" t="s">
        <v>37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/>
      <c r="B22" s="3"/>
      <c r="C22" s="3"/>
      <c r="D22" s="3"/>
      <c r="E22" s="3"/>
      <c r="F22" s="3"/>
      <c r="G22" s="3"/>
      <c r="H22" s="3"/>
      <c r="I22" s="3"/>
      <c r="J22" s="4">
        <v>12</v>
      </c>
      <c r="K22" s="3"/>
      <c r="L22" s="3"/>
      <c r="M22" s="18" t="s">
        <v>38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</sheetData>
  <conditionalFormatting sqref="D9 D11:D18">
    <cfRule type="containsBlanks" dxfId="27" priority="33">
      <formula>LEN(TRIM(D9))=0</formula>
    </cfRule>
  </conditionalFormatting>
  <conditionalFormatting sqref="G9 G11:G15">
    <cfRule type="containsBlanks" dxfId="26" priority="32">
      <formula>LEN(TRIM(G9))=0</formula>
    </cfRule>
  </conditionalFormatting>
  <conditionalFormatting sqref="D10">
    <cfRule type="containsBlanks" dxfId="25" priority="31">
      <formula>LEN(TRIM(D10))=0</formula>
    </cfRule>
  </conditionalFormatting>
  <conditionalFormatting sqref="P9 P11:P15">
    <cfRule type="containsBlanks" dxfId="24" priority="29">
      <formula>LEN(TRIM(P9))=0</formula>
    </cfRule>
  </conditionalFormatting>
  <conditionalFormatting sqref="C7:G7">
    <cfRule type="cellIs" dxfId="23" priority="22" operator="equal">
      <formula>0</formula>
    </cfRule>
  </conditionalFormatting>
  <conditionalFormatting sqref="G10">
    <cfRule type="containsBlanks" dxfId="22" priority="7">
      <formula>LEN(TRIM(G10))=0</formula>
    </cfRule>
  </conditionalFormatting>
  <conditionalFormatting sqref="J9 J11:J22">
    <cfRule type="containsBlanks" dxfId="21" priority="6">
      <formula>LEN(TRIM(J9))=0</formula>
    </cfRule>
  </conditionalFormatting>
  <conditionalFormatting sqref="J10">
    <cfRule type="containsBlanks" dxfId="20" priority="4">
      <formula>LEN(TRIM(J10))=0</formula>
    </cfRule>
  </conditionalFormatting>
  <conditionalFormatting sqref="M9 M11:M22">
    <cfRule type="containsBlanks" dxfId="19" priority="3">
      <formula>LEN(TRIM(M9))=0</formula>
    </cfRule>
  </conditionalFormatting>
  <conditionalFormatting sqref="M10">
    <cfRule type="containsBlanks" dxfId="18" priority="2">
      <formula>LEN(TRIM(M10))=0</formula>
    </cfRule>
  </conditionalFormatting>
  <conditionalFormatting sqref="P16">
    <cfRule type="containsBlanks" dxfId="17" priority="1">
      <formula>LEN(TRIM(P16))=0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EK255"/>
  <sheetViews>
    <sheetView showGridLines="0" workbookViewId="0">
      <pane xSplit="18" ySplit="9" topLeftCell="S10" activePane="bottomRight" state="frozen"/>
      <selection pane="topRight" activeCell="T1" sqref="T1"/>
      <selection pane="bottomLeft" activeCell="A10" sqref="A10"/>
      <selection pane="bottomRight" activeCell="A10" sqref="A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2" customWidth="1"/>
    <col min="6" max="6" width="61.109375" style="2" bestFit="1" customWidth="1"/>
    <col min="7" max="9" width="2.6640625" style="2" customWidth="1"/>
    <col min="10" max="10" width="8.109375" style="2" bestFit="1" customWidth="1"/>
    <col min="11" max="11" width="1.6640625" style="2" customWidth="1"/>
    <col min="12" max="12" width="2.6640625" style="2" bestFit="1" customWidth="1"/>
    <col min="13" max="13" width="2.109375" style="2" customWidth="1"/>
    <col min="14" max="14" width="2.6640625" style="2" customWidth="1"/>
    <col min="15" max="16" width="1.6640625" style="2" customWidth="1"/>
    <col min="17" max="17" width="9.5546875" style="40" bestFit="1" customWidth="1"/>
    <col min="18" max="19" width="1.6640625" style="2" customWidth="1"/>
    <col min="20" max="139" width="8.6640625" style="2" customWidth="1"/>
    <col min="140" max="141" width="1.6640625" style="2" customWidth="1"/>
    <col min="142" max="16384" width="9.109375" style="2"/>
  </cols>
  <sheetData>
    <row r="1" spans="1:14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2"/>
      <c r="R1" s="3"/>
      <c r="S1" s="3"/>
      <c r="T1" s="42">
        <v>1</v>
      </c>
      <c r="U1" s="42">
        <f>T1+1</f>
        <v>2</v>
      </c>
      <c r="V1" s="42">
        <f t="shared" ref="V1:CG1" si="0">U1+1</f>
        <v>3</v>
      </c>
      <c r="W1" s="42">
        <f t="shared" si="0"/>
        <v>4</v>
      </c>
      <c r="X1" s="42">
        <f t="shared" si="0"/>
        <v>5</v>
      </c>
      <c r="Y1" s="42">
        <f t="shared" si="0"/>
        <v>6</v>
      </c>
      <c r="Z1" s="42">
        <f t="shared" si="0"/>
        <v>7</v>
      </c>
      <c r="AA1" s="42">
        <f t="shared" si="0"/>
        <v>8</v>
      </c>
      <c r="AB1" s="42">
        <f t="shared" si="0"/>
        <v>9</v>
      </c>
      <c r="AC1" s="42">
        <f t="shared" si="0"/>
        <v>10</v>
      </c>
      <c r="AD1" s="42">
        <f t="shared" si="0"/>
        <v>11</v>
      </c>
      <c r="AE1" s="42">
        <f t="shared" si="0"/>
        <v>12</v>
      </c>
      <c r="AF1" s="42">
        <f t="shared" si="0"/>
        <v>13</v>
      </c>
      <c r="AG1" s="42">
        <f t="shared" si="0"/>
        <v>14</v>
      </c>
      <c r="AH1" s="42">
        <f t="shared" si="0"/>
        <v>15</v>
      </c>
      <c r="AI1" s="42">
        <f t="shared" si="0"/>
        <v>16</v>
      </c>
      <c r="AJ1" s="42">
        <f t="shared" si="0"/>
        <v>17</v>
      </c>
      <c r="AK1" s="42">
        <f t="shared" si="0"/>
        <v>18</v>
      </c>
      <c r="AL1" s="42">
        <f t="shared" si="0"/>
        <v>19</v>
      </c>
      <c r="AM1" s="42">
        <f t="shared" si="0"/>
        <v>20</v>
      </c>
      <c r="AN1" s="42">
        <f t="shared" si="0"/>
        <v>21</v>
      </c>
      <c r="AO1" s="42">
        <f t="shared" si="0"/>
        <v>22</v>
      </c>
      <c r="AP1" s="42">
        <f t="shared" si="0"/>
        <v>23</v>
      </c>
      <c r="AQ1" s="42">
        <f t="shared" si="0"/>
        <v>24</v>
      </c>
      <c r="AR1" s="42">
        <f t="shared" si="0"/>
        <v>25</v>
      </c>
      <c r="AS1" s="42">
        <f t="shared" si="0"/>
        <v>26</v>
      </c>
      <c r="AT1" s="42">
        <f t="shared" si="0"/>
        <v>27</v>
      </c>
      <c r="AU1" s="42">
        <f t="shared" si="0"/>
        <v>28</v>
      </c>
      <c r="AV1" s="42">
        <f t="shared" si="0"/>
        <v>29</v>
      </c>
      <c r="AW1" s="42">
        <f t="shared" si="0"/>
        <v>30</v>
      </c>
      <c r="AX1" s="42">
        <f t="shared" si="0"/>
        <v>31</v>
      </c>
      <c r="AY1" s="42">
        <f t="shared" si="0"/>
        <v>32</v>
      </c>
      <c r="AZ1" s="42">
        <f t="shared" si="0"/>
        <v>33</v>
      </c>
      <c r="BA1" s="42">
        <f t="shared" si="0"/>
        <v>34</v>
      </c>
      <c r="BB1" s="42">
        <f t="shared" si="0"/>
        <v>35</v>
      </c>
      <c r="BC1" s="42">
        <f t="shared" si="0"/>
        <v>36</v>
      </c>
      <c r="BD1" s="42">
        <f t="shared" si="0"/>
        <v>37</v>
      </c>
      <c r="BE1" s="42">
        <f t="shared" si="0"/>
        <v>38</v>
      </c>
      <c r="BF1" s="42">
        <f t="shared" si="0"/>
        <v>39</v>
      </c>
      <c r="BG1" s="42">
        <f t="shared" si="0"/>
        <v>40</v>
      </c>
      <c r="BH1" s="42">
        <f t="shared" si="0"/>
        <v>41</v>
      </c>
      <c r="BI1" s="42">
        <f t="shared" si="0"/>
        <v>42</v>
      </c>
      <c r="BJ1" s="42">
        <f t="shared" si="0"/>
        <v>43</v>
      </c>
      <c r="BK1" s="42">
        <f t="shared" si="0"/>
        <v>44</v>
      </c>
      <c r="BL1" s="42">
        <f t="shared" si="0"/>
        <v>45</v>
      </c>
      <c r="BM1" s="42">
        <f t="shared" si="0"/>
        <v>46</v>
      </c>
      <c r="BN1" s="42">
        <f t="shared" si="0"/>
        <v>47</v>
      </c>
      <c r="BO1" s="42">
        <f t="shared" si="0"/>
        <v>48</v>
      </c>
      <c r="BP1" s="42">
        <f t="shared" si="0"/>
        <v>49</v>
      </c>
      <c r="BQ1" s="42">
        <f t="shared" si="0"/>
        <v>50</v>
      </c>
      <c r="BR1" s="42">
        <f t="shared" si="0"/>
        <v>51</v>
      </c>
      <c r="BS1" s="42">
        <f t="shared" si="0"/>
        <v>52</v>
      </c>
      <c r="BT1" s="42">
        <f t="shared" si="0"/>
        <v>53</v>
      </c>
      <c r="BU1" s="42">
        <f t="shared" si="0"/>
        <v>54</v>
      </c>
      <c r="BV1" s="42">
        <f t="shared" si="0"/>
        <v>55</v>
      </c>
      <c r="BW1" s="42">
        <f t="shared" si="0"/>
        <v>56</v>
      </c>
      <c r="BX1" s="42">
        <f t="shared" si="0"/>
        <v>57</v>
      </c>
      <c r="BY1" s="42">
        <f t="shared" si="0"/>
        <v>58</v>
      </c>
      <c r="BZ1" s="42">
        <f t="shared" si="0"/>
        <v>59</v>
      </c>
      <c r="CA1" s="42">
        <f t="shared" si="0"/>
        <v>60</v>
      </c>
      <c r="CB1" s="42">
        <f t="shared" si="0"/>
        <v>61</v>
      </c>
      <c r="CC1" s="42">
        <f t="shared" si="0"/>
        <v>62</v>
      </c>
      <c r="CD1" s="42">
        <f t="shared" si="0"/>
        <v>63</v>
      </c>
      <c r="CE1" s="42">
        <f t="shared" si="0"/>
        <v>64</v>
      </c>
      <c r="CF1" s="42">
        <f t="shared" si="0"/>
        <v>65</v>
      </c>
      <c r="CG1" s="42">
        <f t="shared" si="0"/>
        <v>66</v>
      </c>
      <c r="CH1" s="42">
        <f t="shared" ref="CH1:EI1" si="1">CG1+1</f>
        <v>67</v>
      </c>
      <c r="CI1" s="42">
        <f t="shared" si="1"/>
        <v>68</v>
      </c>
      <c r="CJ1" s="42">
        <f t="shared" si="1"/>
        <v>69</v>
      </c>
      <c r="CK1" s="42">
        <f t="shared" si="1"/>
        <v>70</v>
      </c>
      <c r="CL1" s="42">
        <f t="shared" si="1"/>
        <v>71</v>
      </c>
      <c r="CM1" s="42">
        <f t="shared" si="1"/>
        <v>72</v>
      </c>
      <c r="CN1" s="42">
        <f t="shared" si="1"/>
        <v>73</v>
      </c>
      <c r="CO1" s="42">
        <f t="shared" si="1"/>
        <v>74</v>
      </c>
      <c r="CP1" s="42">
        <f t="shared" si="1"/>
        <v>75</v>
      </c>
      <c r="CQ1" s="42">
        <f t="shared" si="1"/>
        <v>76</v>
      </c>
      <c r="CR1" s="42">
        <f t="shared" si="1"/>
        <v>77</v>
      </c>
      <c r="CS1" s="42">
        <f t="shared" si="1"/>
        <v>78</v>
      </c>
      <c r="CT1" s="42">
        <f t="shared" si="1"/>
        <v>79</v>
      </c>
      <c r="CU1" s="42">
        <f t="shared" si="1"/>
        <v>80</v>
      </c>
      <c r="CV1" s="42">
        <f t="shared" si="1"/>
        <v>81</v>
      </c>
      <c r="CW1" s="42">
        <f t="shared" si="1"/>
        <v>82</v>
      </c>
      <c r="CX1" s="42">
        <f t="shared" si="1"/>
        <v>83</v>
      </c>
      <c r="CY1" s="42">
        <f t="shared" si="1"/>
        <v>84</v>
      </c>
      <c r="CZ1" s="42">
        <f t="shared" si="1"/>
        <v>85</v>
      </c>
      <c r="DA1" s="42">
        <f t="shared" si="1"/>
        <v>86</v>
      </c>
      <c r="DB1" s="42">
        <f t="shared" si="1"/>
        <v>87</v>
      </c>
      <c r="DC1" s="42">
        <f t="shared" si="1"/>
        <v>88</v>
      </c>
      <c r="DD1" s="42">
        <f t="shared" si="1"/>
        <v>89</v>
      </c>
      <c r="DE1" s="42">
        <f t="shared" si="1"/>
        <v>90</v>
      </c>
      <c r="DF1" s="42">
        <f t="shared" si="1"/>
        <v>91</v>
      </c>
      <c r="DG1" s="42">
        <f t="shared" si="1"/>
        <v>92</v>
      </c>
      <c r="DH1" s="42">
        <f t="shared" si="1"/>
        <v>93</v>
      </c>
      <c r="DI1" s="42">
        <f t="shared" si="1"/>
        <v>94</v>
      </c>
      <c r="DJ1" s="42">
        <f t="shared" si="1"/>
        <v>95</v>
      </c>
      <c r="DK1" s="42">
        <f t="shared" si="1"/>
        <v>96</v>
      </c>
      <c r="DL1" s="42">
        <f t="shared" si="1"/>
        <v>97</v>
      </c>
      <c r="DM1" s="42">
        <f t="shared" si="1"/>
        <v>98</v>
      </c>
      <c r="DN1" s="42">
        <f t="shared" si="1"/>
        <v>99</v>
      </c>
      <c r="DO1" s="42">
        <f t="shared" si="1"/>
        <v>100</v>
      </c>
      <c r="DP1" s="42">
        <f t="shared" si="1"/>
        <v>101</v>
      </c>
      <c r="DQ1" s="42">
        <f t="shared" si="1"/>
        <v>102</v>
      </c>
      <c r="DR1" s="42">
        <f t="shared" si="1"/>
        <v>103</v>
      </c>
      <c r="DS1" s="42">
        <f t="shared" si="1"/>
        <v>104</v>
      </c>
      <c r="DT1" s="42">
        <f t="shared" si="1"/>
        <v>105</v>
      </c>
      <c r="DU1" s="42">
        <f t="shared" si="1"/>
        <v>106</v>
      </c>
      <c r="DV1" s="42">
        <f t="shared" si="1"/>
        <v>107</v>
      </c>
      <c r="DW1" s="42">
        <f t="shared" si="1"/>
        <v>108</v>
      </c>
      <c r="DX1" s="42">
        <f t="shared" si="1"/>
        <v>109</v>
      </c>
      <c r="DY1" s="42">
        <f t="shared" si="1"/>
        <v>110</v>
      </c>
      <c r="DZ1" s="42">
        <f t="shared" si="1"/>
        <v>111</v>
      </c>
      <c r="EA1" s="42">
        <f t="shared" si="1"/>
        <v>112</v>
      </c>
      <c r="EB1" s="42">
        <f t="shared" si="1"/>
        <v>113</v>
      </c>
      <c r="EC1" s="42">
        <f t="shared" si="1"/>
        <v>114</v>
      </c>
      <c r="ED1" s="42">
        <f t="shared" si="1"/>
        <v>115</v>
      </c>
      <c r="EE1" s="42">
        <f t="shared" si="1"/>
        <v>116</v>
      </c>
      <c r="EF1" s="42">
        <f t="shared" si="1"/>
        <v>117</v>
      </c>
      <c r="EG1" s="42">
        <f t="shared" si="1"/>
        <v>118</v>
      </c>
      <c r="EH1" s="42">
        <f t="shared" si="1"/>
        <v>119</v>
      </c>
      <c r="EI1" s="42">
        <f t="shared" si="1"/>
        <v>120</v>
      </c>
      <c r="EJ1" s="3"/>
      <c r="EK1" s="3"/>
    </row>
    <row r="2" spans="1:14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</row>
    <row r="3" spans="1:141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x14ac:dyDescent="0.25">
      <c r="A5" s="3"/>
      <c r="B5" s="3"/>
      <c r="C5" s="3"/>
      <c r="D5" s="10" t="str">
        <f>оглавление!$D$5</f>
        <v>Регион: РФ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x14ac:dyDescent="0.25">
      <c r="A6" s="3"/>
      <c r="B6" s="3"/>
      <c r="C6" s="3"/>
      <c r="D6" s="10" t="str">
        <f>оглавление!$D$6</f>
        <v>Юр/лица: одно юр/лицо + Инвестор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x14ac:dyDescent="0.25">
      <c r="A7" s="3"/>
      <c r="B7" s="3"/>
      <c r="C7" s="3"/>
      <c r="D7" s="13" t="str">
        <f>оглавление!$F$59</f>
        <v>Ежемесячные расчеты инвестмодели</v>
      </c>
      <c r="E7" s="14"/>
      <c r="F7" s="15"/>
      <c r="G7" s="16"/>
      <c r="H7" s="16"/>
      <c r="I7" s="3"/>
      <c r="J7" s="3"/>
      <c r="K7" s="3"/>
      <c r="L7" s="3"/>
      <c r="M7" s="3"/>
      <c r="N7" s="3"/>
      <c r="O7" s="3"/>
      <c r="P7" s="3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x14ac:dyDescent="0.25">
      <c r="A8" s="3"/>
      <c r="B8" s="3"/>
      <c r="C8" s="171">
        <f>BS!$C$8</f>
        <v>4.6566128730773926E-10</v>
      </c>
      <c r="D8" s="191" t="str">
        <f>структура!$P$12</f>
        <v>контроль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x14ac:dyDescent="0.25">
      <c r="A9" s="10"/>
      <c r="B9" s="10"/>
      <c r="C9" s="10"/>
      <c r="D9" s="10"/>
      <c r="E9" s="10"/>
      <c r="F9" s="10" t="str">
        <f>условия!F9</f>
        <v>Показатель</v>
      </c>
      <c r="G9" s="10"/>
      <c r="H9" s="10"/>
      <c r="I9" s="10"/>
      <c r="J9" s="10" t="str">
        <f>условия!J9</f>
        <v>ед.изм.</v>
      </c>
      <c r="K9" s="10"/>
      <c r="L9" s="10"/>
      <c r="M9" s="10"/>
      <c r="N9" s="10"/>
      <c r="O9" s="10"/>
      <c r="P9" s="10"/>
      <c r="Q9" s="12">
        <f>условия!Q9</f>
        <v>0</v>
      </c>
      <c r="R9" s="10"/>
      <c r="S9" s="3"/>
      <c r="T9" s="39">
        <f>IF(условия!$M$11="","",условия!$M$11)</f>
        <v>44197</v>
      </c>
      <c r="U9" s="39">
        <f>IF(T9="","",EOMONTH(T9,0)+1)</f>
        <v>44228</v>
      </c>
      <c r="V9" s="39">
        <f t="shared" ref="V9:AC9" si="2">IF(U9="","",EOMONTH(U9,0)+1)</f>
        <v>44256</v>
      </c>
      <c r="W9" s="39">
        <f t="shared" si="2"/>
        <v>44287</v>
      </c>
      <c r="X9" s="39">
        <f t="shared" si="2"/>
        <v>44317</v>
      </c>
      <c r="Y9" s="39">
        <f t="shared" si="2"/>
        <v>44348</v>
      </c>
      <c r="Z9" s="39">
        <f t="shared" si="2"/>
        <v>44378</v>
      </c>
      <c r="AA9" s="39">
        <f t="shared" si="2"/>
        <v>44409</v>
      </c>
      <c r="AB9" s="39">
        <f t="shared" si="2"/>
        <v>44440</v>
      </c>
      <c r="AC9" s="39">
        <f t="shared" si="2"/>
        <v>44470</v>
      </c>
      <c r="AD9" s="39">
        <f>IF(AC9="","",EOMONTH(AC9,0)+1)</f>
        <v>44501</v>
      </c>
      <c r="AE9" s="39">
        <f t="shared" ref="AE9:AR9" si="3">IF(AD9="","",EOMONTH(AD9,0)+1)</f>
        <v>44531</v>
      </c>
      <c r="AF9" s="39">
        <f t="shared" si="3"/>
        <v>44562</v>
      </c>
      <c r="AG9" s="39">
        <f t="shared" si="3"/>
        <v>44593</v>
      </c>
      <c r="AH9" s="39">
        <f t="shared" si="3"/>
        <v>44621</v>
      </c>
      <c r="AI9" s="39">
        <f t="shared" si="3"/>
        <v>44652</v>
      </c>
      <c r="AJ9" s="39">
        <f t="shared" si="3"/>
        <v>44682</v>
      </c>
      <c r="AK9" s="39">
        <f t="shared" si="3"/>
        <v>44713</v>
      </c>
      <c r="AL9" s="39">
        <f t="shared" si="3"/>
        <v>44743</v>
      </c>
      <c r="AM9" s="39">
        <f t="shared" si="3"/>
        <v>44774</v>
      </c>
      <c r="AN9" s="39">
        <f t="shared" si="3"/>
        <v>44805</v>
      </c>
      <c r="AO9" s="39">
        <f t="shared" si="3"/>
        <v>44835</v>
      </c>
      <c r="AP9" s="39">
        <f t="shared" si="3"/>
        <v>44866</v>
      </c>
      <c r="AQ9" s="39">
        <f t="shared" si="3"/>
        <v>44896</v>
      </c>
      <c r="AR9" s="39">
        <f t="shared" si="3"/>
        <v>44927</v>
      </c>
      <c r="AS9" s="39">
        <f>IF(AR9="","",EOMONTH(AR9,0)+1)</f>
        <v>44958</v>
      </c>
      <c r="AT9" s="39">
        <f t="shared" ref="AT9:BG9" si="4">IF(AS9="","",EOMONTH(AS9,0)+1)</f>
        <v>44986</v>
      </c>
      <c r="AU9" s="39">
        <f t="shared" si="4"/>
        <v>45017</v>
      </c>
      <c r="AV9" s="39">
        <f t="shared" si="4"/>
        <v>45047</v>
      </c>
      <c r="AW9" s="39">
        <f t="shared" si="4"/>
        <v>45078</v>
      </c>
      <c r="AX9" s="39">
        <f t="shared" si="4"/>
        <v>45108</v>
      </c>
      <c r="AY9" s="39">
        <f t="shared" si="4"/>
        <v>45139</v>
      </c>
      <c r="AZ9" s="39">
        <f t="shared" si="4"/>
        <v>45170</v>
      </c>
      <c r="BA9" s="39">
        <f t="shared" si="4"/>
        <v>45200</v>
      </c>
      <c r="BB9" s="39">
        <f t="shared" si="4"/>
        <v>45231</v>
      </c>
      <c r="BC9" s="39">
        <f t="shared" si="4"/>
        <v>45261</v>
      </c>
      <c r="BD9" s="39">
        <f t="shared" si="4"/>
        <v>45292</v>
      </c>
      <c r="BE9" s="39">
        <f t="shared" si="4"/>
        <v>45323</v>
      </c>
      <c r="BF9" s="39">
        <f t="shared" si="4"/>
        <v>45352</v>
      </c>
      <c r="BG9" s="39">
        <f t="shared" si="4"/>
        <v>45383</v>
      </c>
      <c r="BH9" s="39">
        <f>IF(BG9="","",EOMONTH(BG9,0)+1)</f>
        <v>45413</v>
      </c>
      <c r="BI9" s="39">
        <f t="shared" ref="BI9:BV9" si="5">IF(BH9="","",EOMONTH(BH9,0)+1)</f>
        <v>45444</v>
      </c>
      <c r="BJ9" s="39">
        <f t="shared" si="5"/>
        <v>45474</v>
      </c>
      <c r="BK9" s="39">
        <f t="shared" si="5"/>
        <v>45505</v>
      </c>
      <c r="BL9" s="39">
        <f t="shared" si="5"/>
        <v>45536</v>
      </c>
      <c r="BM9" s="39">
        <f t="shared" si="5"/>
        <v>45566</v>
      </c>
      <c r="BN9" s="39">
        <f t="shared" si="5"/>
        <v>45597</v>
      </c>
      <c r="BO9" s="39">
        <f t="shared" si="5"/>
        <v>45627</v>
      </c>
      <c r="BP9" s="39">
        <f t="shared" si="5"/>
        <v>45658</v>
      </c>
      <c r="BQ9" s="39">
        <f t="shared" si="5"/>
        <v>45689</v>
      </c>
      <c r="BR9" s="39">
        <f t="shared" si="5"/>
        <v>45717</v>
      </c>
      <c r="BS9" s="39">
        <f t="shared" si="5"/>
        <v>45748</v>
      </c>
      <c r="BT9" s="39">
        <f t="shared" si="5"/>
        <v>45778</v>
      </c>
      <c r="BU9" s="39">
        <f t="shared" si="5"/>
        <v>45809</v>
      </c>
      <c r="BV9" s="39">
        <f t="shared" si="5"/>
        <v>45839</v>
      </c>
      <c r="BW9" s="39">
        <f>IF(BV9="","",EOMONTH(BV9,0)+1)</f>
        <v>45870</v>
      </c>
      <c r="BX9" s="39">
        <f t="shared" ref="BX9:CJ9" si="6">IF(BW9="","",EOMONTH(BW9,0)+1)</f>
        <v>45901</v>
      </c>
      <c r="BY9" s="39">
        <f t="shared" si="6"/>
        <v>45931</v>
      </c>
      <c r="BZ9" s="39">
        <f t="shared" si="6"/>
        <v>45962</v>
      </c>
      <c r="CA9" s="39">
        <f t="shared" si="6"/>
        <v>45992</v>
      </c>
      <c r="CB9" s="39">
        <f t="shared" si="6"/>
        <v>46023</v>
      </c>
      <c r="CC9" s="39">
        <f t="shared" si="6"/>
        <v>46054</v>
      </c>
      <c r="CD9" s="39">
        <f t="shared" si="6"/>
        <v>46082</v>
      </c>
      <c r="CE9" s="39">
        <f t="shared" si="6"/>
        <v>46113</v>
      </c>
      <c r="CF9" s="39">
        <f t="shared" si="6"/>
        <v>46143</v>
      </c>
      <c r="CG9" s="39">
        <f t="shared" si="6"/>
        <v>46174</v>
      </c>
      <c r="CH9" s="39">
        <f t="shared" si="6"/>
        <v>46204</v>
      </c>
      <c r="CI9" s="39">
        <f t="shared" si="6"/>
        <v>46235</v>
      </c>
      <c r="CJ9" s="39">
        <f t="shared" si="6"/>
        <v>46266</v>
      </c>
      <c r="CK9" s="39">
        <f>IF(CJ9="","",EOMONTH(CJ9,0)+1)</f>
        <v>46296</v>
      </c>
      <c r="CL9" s="39">
        <f t="shared" ref="CL9:CY9" si="7">IF(CK9="","",EOMONTH(CK9,0)+1)</f>
        <v>46327</v>
      </c>
      <c r="CM9" s="39">
        <f t="shared" si="7"/>
        <v>46357</v>
      </c>
      <c r="CN9" s="39">
        <f t="shared" si="7"/>
        <v>46388</v>
      </c>
      <c r="CO9" s="39">
        <f t="shared" si="7"/>
        <v>46419</v>
      </c>
      <c r="CP9" s="39">
        <f t="shared" si="7"/>
        <v>46447</v>
      </c>
      <c r="CQ9" s="39">
        <f t="shared" si="7"/>
        <v>46478</v>
      </c>
      <c r="CR9" s="39">
        <f t="shared" si="7"/>
        <v>46508</v>
      </c>
      <c r="CS9" s="39">
        <f t="shared" si="7"/>
        <v>46539</v>
      </c>
      <c r="CT9" s="39">
        <f t="shared" si="7"/>
        <v>46569</v>
      </c>
      <c r="CU9" s="39">
        <f t="shared" si="7"/>
        <v>46600</v>
      </c>
      <c r="CV9" s="39">
        <f t="shared" si="7"/>
        <v>46631</v>
      </c>
      <c r="CW9" s="39">
        <f t="shared" si="7"/>
        <v>46661</v>
      </c>
      <c r="CX9" s="39">
        <f t="shared" si="7"/>
        <v>46692</v>
      </c>
      <c r="CY9" s="39">
        <f t="shared" si="7"/>
        <v>46722</v>
      </c>
      <c r="CZ9" s="39">
        <f>IF(CY9="","",EOMONTH(CY9,0)+1)</f>
        <v>46753</v>
      </c>
      <c r="DA9" s="39">
        <f t="shared" ref="DA9:DN9" si="8">IF(CZ9="","",EOMONTH(CZ9,0)+1)</f>
        <v>46784</v>
      </c>
      <c r="DB9" s="39">
        <f t="shared" si="8"/>
        <v>46813</v>
      </c>
      <c r="DC9" s="39">
        <f t="shared" si="8"/>
        <v>46844</v>
      </c>
      <c r="DD9" s="39">
        <f t="shared" si="8"/>
        <v>46874</v>
      </c>
      <c r="DE9" s="39">
        <f t="shared" si="8"/>
        <v>46905</v>
      </c>
      <c r="DF9" s="39">
        <f t="shared" si="8"/>
        <v>46935</v>
      </c>
      <c r="DG9" s="39">
        <f t="shared" si="8"/>
        <v>46966</v>
      </c>
      <c r="DH9" s="39">
        <f t="shared" si="8"/>
        <v>46997</v>
      </c>
      <c r="DI9" s="39">
        <f t="shared" si="8"/>
        <v>47027</v>
      </c>
      <c r="DJ9" s="39">
        <f t="shared" si="8"/>
        <v>47058</v>
      </c>
      <c r="DK9" s="39">
        <f t="shared" si="8"/>
        <v>47088</v>
      </c>
      <c r="DL9" s="39">
        <f t="shared" si="8"/>
        <v>47119</v>
      </c>
      <c r="DM9" s="39">
        <f t="shared" si="8"/>
        <v>47150</v>
      </c>
      <c r="DN9" s="39">
        <f t="shared" si="8"/>
        <v>47178</v>
      </c>
      <c r="DO9" s="39">
        <f>IF(DN9="","",EOMONTH(DN9,0)+1)</f>
        <v>47209</v>
      </c>
      <c r="DP9" s="39">
        <f t="shared" ref="DP9:EB9" si="9">IF(DO9="","",EOMONTH(DO9,0)+1)</f>
        <v>47239</v>
      </c>
      <c r="DQ9" s="39">
        <f t="shared" si="9"/>
        <v>47270</v>
      </c>
      <c r="DR9" s="39">
        <f t="shared" si="9"/>
        <v>47300</v>
      </c>
      <c r="DS9" s="39">
        <f t="shared" si="9"/>
        <v>47331</v>
      </c>
      <c r="DT9" s="39">
        <f t="shared" si="9"/>
        <v>47362</v>
      </c>
      <c r="DU9" s="39">
        <f t="shared" si="9"/>
        <v>47392</v>
      </c>
      <c r="DV9" s="39">
        <f t="shared" si="9"/>
        <v>47423</v>
      </c>
      <c r="DW9" s="39">
        <f t="shared" si="9"/>
        <v>47453</v>
      </c>
      <c r="DX9" s="39">
        <f t="shared" si="9"/>
        <v>47484</v>
      </c>
      <c r="DY9" s="39">
        <f t="shared" si="9"/>
        <v>47515</v>
      </c>
      <c r="DZ9" s="39">
        <f t="shared" si="9"/>
        <v>47543</v>
      </c>
      <c r="EA9" s="39">
        <f t="shared" si="9"/>
        <v>47574</v>
      </c>
      <c r="EB9" s="39">
        <f t="shared" si="9"/>
        <v>47604</v>
      </c>
      <c r="EC9" s="39">
        <f>IF(EB9="","",EOMONTH(EB9,0)+1)</f>
        <v>47635</v>
      </c>
      <c r="ED9" s="39">
        <f t="shared" ref="ED9:EI9" si="10">IF(EC9="","",EOMONTH(EC9,0)+1)</f>
        <v>47665</v>
      </c>
      <c r="EE9" s="39">
        <f t="shared" si="10"/>
        <v>47696</v>
      </c>
      <c r="EF9" s="39">
        <f t="shared" si="10"/>
        <v>47727</v>
      </c>
      <c r="EG9" s="39">
        <f t="shared" si="10"/>
        <v>47757</v>
      </c>
      <c r="EH9" s="39">
        <f t="shared" si="10"/>
        <v>47788</v>
      </c>
      <c r="EI9" s="39">
        <f t="shared" si="10"/>
        <v>47818</v>
      </c>
      <c r="EJ9" s="3"/>
      <c r="EK9" s="3"/>
    </row>
    <row r="10" spans="1:14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x14ac:dyDescent="0.25">
      <c r="A11" s="3"/>
      <c r="B11" s="3"/>
      <c r="C11" s="3"/>
      <c r="D11" s="3"/>
      <c r="E11" s="3"/>
      <c r="F11" s="10" t="str">
        <f>KPI!$F$15</f>
        <v>ежемесячное распределение начальных кап. затрат</v>
      </c>
      <c r="G11" s="3"/>
      <c r="H11" s="3"/>
      <c r="I11" s="3"/>
      <c r="J11" s="5" t="str">
        <f>IF($F11="","",INDEX(KPI!$I$11:$I$275,SUMIFS(KPI!$E$11:$E$275,KPI!$F$11:$F$275,$F11)))</f>
        <v>тыс.руб.</v>
      </c>
      <c r="K11" s="3"/>
      <c r="L11" s="3"/>
      <c r="M11" s="3"/>
      <c r="N11" s="3"/>
      <c r="O11" s="3"/>
      <c r="P11" s="3"/>
      <c r="Q11" s="12">
        <f>SUM(S11:EJ11)</f>
        <v>70000</v>
      </c>
      <c r="R11" s="3"/>
      <c r="S11" s="3"/>
      <c r="T11" s="33">
        <f>IF(T$9="",0,INDEX(условия!$T$35:$AC$46,SUMIFS(условия!$L$35:$L$46,условия!$L$35:$L$46,MONTH(T$9)),SUMIFS(условия!$T$1:$AC$1,условия!$T$8:$AC$8,"&lt;="&amp;T$9,условия!$T$9:$AC$9,"&gt;="&amp;T$9)))</f>
        <v>0</v>
      </c>
      <c r="U11" s="33">
        <f>IF(U$9="",0,INDEX(условия!$T$35:$AC$46,SUMIFS(условия!$L$35:$L$46,условия!$L$35:$L$46,MONTH(U$9)),SUMIFS(условия!$T$1:$AC$1,условия!$T$8:$AC$8,"&lt;="&amp;U$9,условия!$T$9:$AC$9,"&gt;="&amp;U$9)))</f>
        <v>17500</v>
      </c>
      <c r="V11" s="33">
        <f>IF(V$9="",0,INDEX(условия!$T$35:$AC$46,SUMIFS(условия!$L$35:$L$46,условия!$L$35:$L$46,MONTH(V$9)),SUMIFS(условия!$T$1:$AC$1,условия!$T$8:$AC$8,"&lt;="&amp;V$9,условия!$T$9:$AC$9,"&gt;="&amp;V$9)))</f>
        <v>17500</v>
      </c>
      <c r="W11" s="33">
        <f>IF(W$9="",0,INDEX(условия!$T$35:$AC$46,SUMIFS(условия!$L$35:$L$46,условия!$L$35:$L$46,MONTH(W$9)),SUMIFS(условия!$T$1:$AC$1,условия!$T$8:$AC$8,"&lt;="&amp;W$9,условия!$T$9:$AC$9,"&gt;="&amp;W$9)))</f>
        <v>17500</v>
      </c>
      <c r="X11" s="33">
        <f>IF(X$9="",0,INDEX(условия!$T$35:$AC$46,SUMIFS(условия!$L$35:$L$46,условия!$L$35:$L$46,MONTH(X$9)),SUMIFS(условия!$T$1:$AC$1,условия!$T$8:$AC$8,"&lt;="&amp;X$9,условия!$T$9:$AC$9,"&gt;="&amp;X$9)))</f>
        <v>17500</v>
      </c>
      <c r="Y11" s="33">
        <f>IF(Y$9="",0,INDEX(условия!$T$35:$AC$46,SUMIFS(условия!$L$35:$L$46,условия!$L$35:$L$46,MONTH(Y$9)),SUMIFS(условия!$T$1:$AC$1,условия!$T$8:$AC$8,"&lt;="&amp;Y$9,условия!$T$9:$AC$9,"&gt;="&amp;Y$9)))</f>
        <v>0</v>
      </c>
      <c r="Z11" s="33">
        <f>IF(Z$9="",0,INDEX(условия!$T$35:$AC$46,SUMIFS(условия!$L$35:$L$46,условия!$L$35:$L$46,MONTH(Z$9)),SUMIFS(условия!$T$1:$AC$1,условия!$T$8:$AC$8,"&lt;="&amp;Z$9,условия!$T$9:$AC$9,"&gt;="&amp;Z$9)))</f>
        <v>0</v>
      </c>
      <c r="AA11" s="33">
        <f>IF(AA$9="",0,INDEX(условия!$T$35:$AC$46,SUMIFS(условия!$L$35:$L$46,условия!$L$35:$L$46,MONTH(AA$9)),SUMIFS(условия!$T$1:$AC$1,условия!$T$8:$AC$8,"&lt;="&amp;AA$9,условия!$T$9:$AC$9,"&gt;="&amp;AA$9)))</f>
        <v>0</v>
      </c>
      <c r="AB11" s="33">
        <f>IF(AB$9="",0,INDEX(условия!$T$35:$AC$46,SUMIFS(условия!$L$35:$L$46,условия!$L$35:$L$46,MONTH(AB$9)),SUMIFS(условия!$T$1:$AC$1,условия!$T$8:$AC$8,"&lt;="&amp;AB$9,условия!$T$9:$AC$9,"&gt;="&amp;AB$9)))</f>
        <v>0</v>
      </c>
      <c r="AC11" s="33">
        <f>IF(AC$9="",0,INDEX(условия!$T$35:$AC$46,SUMIFS(условия!$L$35:$L$46,условия!$L$35:$L$46,MONTH(AC$9)),SUMIFS(условия!$T$1:$AC$1,условия!$T$8:$AC$8,"&lt;="&amp;AC$9,условия!$T$9:$AC$9,"&gt;="&amp;AC$9)))</f>
        <v>0</v>
      </c>
      <c r="AD11" s="33">
        <f>IF(AD$9="",0,INDEX(условия!$T$35:$AC$46,SUMIFS(условия!$L$35:$L$46,условия!$L$35:$L$46,MONTH(AD$9)),SUMIFS(условия!$T$1:$AC$1,условия!$T$8:$AC$8,"&lt;="&amp;AD$9,условия!$T$9:$AC$9,"&gt;="&amp;AD$9)))</f>
        <v>0</v>
      </c>
      <c r="AE11" s="33">
        <f>IF(AE$9="",0,INDEX(условия!$T$35:$AC$46,SUMIFS(условия!$L$35:$L$46,условия!$L$35:$L$46,MONTH(AE$9)),SUMIFS(условия!$T$1:$AC$1,условия!$T$8:$AC$8,"&lt;="&amp;AE$9,условия!$T$9:$AC$9,"&gt;="&amp;AE$9)))</f>
        <v>0</v>
      </c>
      <c r="AF11" s="33">
        <f>IF(AF$9="",0,INDEX(условия!$T$35:$AC$46,SUMIFS(условия!$L$35:$L$46,условия!$L$35:$L$46,MONTH(AF$9)),SUMIFS(условия!$T$1:$AC$1,условия!$T$8:$AC$8,"&lt;="&amp;AF$9,условия!$T$9:$AC$9,"&gt;="&amp;AF$9)))</f>
        <v>0</v>
      </c>
      <c r="AG11" s="33">
        <f>IF(AG$9="",0,INDEX(условия!$T$35:$AC$46,SUMIFS(условия!$L$35:$L$46,условия!$L$35:$L$46,MONTH(AG$9)),SUMIFS(условия!$T$1:$AC$1,условия!$T$8:$AC$8,"&lt;="&amp;AG$9,условия!$T$9:$AC$9,"&gt;="&amp;AG$9)))</f>
        <v>0</v>
      </c>
      <c r="AH11" s="33">
        <f>IF(AH$9="",0,INDEX(условия!$T$35:$AC$46,SUMIFS(условия!$L$35:$L$46,условия!$L$35:$L$46,MONTH(AH$9)),SUMIFS(условия!$T$1:$AC$1,условия!$T$8:$AC$8,"&lt;="&amp;AH$9,условия!$T$9:$AC$9,"&gt;="&amp;AH$9)))</f>
        <v>0</v>
      </c>
      <c r="AI11" s="33">
        <f>IF(AI$9="",0,INDEX(условия!$T$35:$AC$46,SUMIFS(условия!$L$35:$L$46,условия!$L$35:$L$46,MONTH(AI$9)),SUMIFS(условия!$T$1:$AC$1,условия!$T$8:$AC$8,"&lt;="&amp;AI$9,условия!$T$9:$AC$9,"&gt;="&amp;AI$9)))</f>
        <v>0</v>
      </c>
      <c r="AJ11" s="33">
        <f>IF(AJ$9="",0,INDEX(условия!$T$35:$AC$46,SUMIFS(условия!$L$35:$L$46,условия!$L$35:$L$46,MONTH(AJ$9)),SUMIFS(условия!$T$1:$AC$1,условия!$T$8:$AC$8,"&lt;="&amp;AJ$9,условия!$T$9:$AC$9,"&gt;="&amp;AJ$9)))</f>
        <v>0</v>
      </c>
      <c r="AK11" s="33">
        <f>IF(AK$9="",0,INDEX(условия!$T$35:$AC$46,SUMIFS(условия!$L$35:$L$46,условия!$L$35:$L$46,MONTH(AK$9)),SUMIFS(условия!$T$1:$AC$1,условия!$T$8:$AC$8,"&lt;="&amp;AK$9,условия!$T$9:$AC$9,"&gt;="&amp;AK$9)))</f>
        <v>0</v>
      </c>
      <c r="AL11" s="33">
        <f>IF(AL$9="",0,INDEX(условия!$T$35:$AC$46,SUMIFS(условия!$L$35:$L$46,условия!$L$35:$L$46,MONTH(AL$9)),SUMIFS(условия!$T$1:$AC$1,условия!$T$8:$AC$8,"&lt;="&amp;AL$9,условия!$T$9:$AC$9,"&gt;="&amp;AL$9)))</f>
        <v>0</v>
      </c>
      <c r="AM11" s="33">
        <f>IF(AM$9="",0,INDEX(условия!$T$35:$AC$46,SUMIFS(условия!$L$35:$L$46,условия!$L$35:$L$46,MONTH(AM$9)),SUMIFS(условия!$T$1:$AC$1,условия!$T$8:$AC$8,"&lt;="&amp;AM$9,условия!$T$9:$AC$9,"&gt;="&amp;AM$9)))</f>
        <v>0</v>
      </c>
      <c r="AN11" s="33">
        <f>IF(AN$9="",0,INDEX(условия!$T$35:$AC$46,SUMIFS(условия!$L$35:$L$46,условия!$L$35:$L$46,MONTH(AN$9)),SUMIFS(условия!$T$1:$AC$1,условия!$T$8:$AC$8,"&lt;="&amp;AN$9,условия!$T$9:$AC$9,"&gt;="&amp;AN$9)))</f>
        <v>0</v>
      </c>
      <c r="AO11" s="33">
        <f>IF(AO$9="",0,INDEX(условия!$T$35:$AC$46,SUMIFS(условия!$L$35:$L$46,условия!$L$35:$L$46,MONTH(AO$9)),SUMIFS(условия!$T$1:$AC$1,условия!$T$8:$AC$8,"&lt;="&amp;AO$9,условия!$T$9:$AC$9,"&gt;="&amp;AO$9)))</f>
        <v>0</v>
      </c>
      <c r="AP11" s="33">
        <f>IF(AP$9="",0,INDEX(условия!$T$35:$AC$46,SUMIFS(условия!$L$35:$L$46,условия!$L$35:$L$46,MONTH(AP$9)),SUMIFS(условия!$T$1:$AC$1,условия!$T$8:$AC$8,"&lt;="&amp;AP$9,условия!$T$9:$AC$9,"&gt;="&amp;AP$9)))</f>
        <v>0</v>
      </c>
      <c r="AQ11" s="33">
        <f>IF(AQ$9="",0,INDEX(условия!$T$35:$AC$46,SUMIFS(условия!$L$35:$L$46,условия!$L$35:$L$46,MONTH(AQ$9)),SUMIFS(условия!$T$1:$AC$1,условия!$T$8:$AC$8,"&lt;="&amp;AQ$9,условия!$T$9:$AC$9,"&gt;="&amp;AQ$9)))</f>
        <v>0</v>
      </c>
      <c r="AR11" s="33">
        <f>IF(AR$9="",0,INDEX(условия!$T$35:$AC$46,SUMIFS(условия!$L$35:$L$46,условия!$L$35:$L$46,MONTH(AR$9)),SUMIFS(условия!$T$1:$AC$1,условия!$T$8:$AC$8,"&lt;="&amp;AR$9,условия!$T$9:$AC$9,"&gt;="&amp;AR$9)))</f>
        <v>0</v>
      </c>
      <c r="AS11" s="33">
        <f>IF(AS$9="",0,INDEX(условия!$T$35:$AC$46,SUMIFS(условия!$L$35:$L$46,условия!$L$35:$L$46,MONTH(AS$9)),SUMIFS(условия!$T$1:$AC$1,условия!$T$8:$AC$8,"&lt;="&amp;AS$9,условия!$T$9:$AC$9,"&gt;="&amp;AS$9)))</f>
        <v>0</v>
      </c>
      <c r="AT11" s="33">
        <f>IF(AT$9="",0,INDEX(условия!$T$35:$AC$46,SUMIFS(условия!$L$35:$L$46,условия!$L$35:$L$46,MONTH(AT$9)),SUMIFS(условия!$T$1:$AC$1,условия!$T$8:$AC$8,"&lt;="&amp;AT$9,условия!$T$9:$AC$9,"&gt;="&amp;AT$9)))</f>
        <v>0</v>
      </c>
      <c r="AU11" s="33">
        <f>IF(AU$9="",0,INDEX(условия!$T$35:$AC$46,SUMIFS(условия!$L$35:$L$46,условия!$L$35:$L$46,MONTH(AU$9)),SUMIFS(условия!$T$1:$AC$1,условия!$T$8:$AC$8,"&lt;="&amp;AU$9,условия!$T$9:$AC$9,"&gt;="&amp;AU$9)))</f>
        <v>0</v>
      </c>
      <c r="AV11" s="33">
        <f>IF(AV$9="",0,INDEX(условия!$T$35:$AC$46,SUMIFS(условия!$L$35:$L$46,условия!$L$35:$L$46,MONTH(AV$9)),SUMIFS(условия!$T$1:$AC$1,условия!$T$8:$AC$8,"&lt;="&amp;AV$9,условия!$T$9:$AC$9,"&gt;="&amp;AV$9)))</f>
        <v>0</v>
      </c>
      <c r="AW11" s="33">
        <f>IF(AW$9="",0,INDEX(условия!$T$35:$AC$46,SUMIFS(условия!$L$35:$L$46,условия!$L$35:$L$46,MONTH(AW$9)),SUMIFS(условия!$T$1:$AC$1,условия!$T$8:$AC$8,"&lt;="&amp;AW$9,условия!$T$9:$AC$9,"&gt;="&amp;AW$9)))</f>
        <v>0</v>
      </c>
      <c r="AX11" s="33">
        <f>IF(AX$9="",0,INDEX(условия!$T$35:$AC$46,SUMIFS(условия!$L$35:$L$46,условия!$L$35:$L$46,MONTH(AX$9)),SUMIFS(условия!$T$1:$AC$1,условия!$T$8:$AC$8,"&lt;="&amp;AX$9,условия!$T$9:$AC$9,"&gt;="&amp;AX$9)))</f>
        <v>0</v>
      </c>
      <c r="AY11" s="33">
        <f>IF(AY$9="",0,INDEX(условия!$T$35:$AC$46,SUMIFS(условия!$L$35:$L$46,условия!$L$35:$L$46,MONTH(AY$9)),SUMIFS(условия!$T$1:$AC$1,условия!$T$8:$AC$8,"&lt;="&amp;AY$9,условия!$T$9:$AC$9,"&gt;="&amp;AY$9)))</f>
        <v>0</v>
      </c>
      <c r="AZ11" s="33">
        <f>IF(AZ$9="",0,INDEX(условия!$T$35:$AC$46,SUMIFS(условия!$L$35:$L$46,условия!$L$35:$L$46,MONTH(AZ$9)),SUMIFS(условия!$T$1:$AC$1,условия!$T$8:$AC$8,"&lt;="&amp;AZ$9,условия!$T$9:$AC$9,"&gt;="&amp;AZ$9)))</f>
        <v>0</v>
      </c>
      <c r="BA11" s="33">
        <f>IF(BA$9="",0,INDEX(условия!$T$35:$AC$46,SUMIFS(условия!$L$35:$L$46,условия!$L$35:$L$46,MONTH(BA$9)),SUMIFS(условия!$T$1:$AC$1,условия!$T$8:$AC$8,"&lt;="&amp;BA$9,условия!$T$9:$AC$9,"&gt;="&amp;BA$9)))</f>
        <v>0</v>
      </c>
      <c r="BB11" s="33">
        <f>IF(BB$9="",0,INDEX(условия!$T$35:$AC$46,SUMIFS(условия!$L$35:$L$46,условия!$L$35:$L$46,MONTH(BB$9)),SUMIFS(условия!$T$1:$AC$1,условия!$T$8:$AC$8,"&lt;="&amp;BB$9,условия!$T$9:$AC$9,"&gt;="&amp;BB$9)))</f>
        <v>0</v>
      </c>
      <c r="BC11" s="33">
        <f>IF(BC$9="",0,INDEX(условия!$T$35:$AC$46,SUMIFS(условия!$L$35:$L$46,условия!$L$35:$L$46,MONTH(BC$9)),SUMIFS(условия!$T$1:$AC$1,условия!$T$8:$AC$8,"&lt;="&amp;BC$9,условия!$T$9:$AC$9,"&gt;="&amp;BC$9)))</f>
        <v>0</v>
      </c>
      <c r="BD11" s="33">
        <f>IF(BD$9="",0,INDEX(условия!$T$35:$AC$46,SUMIFS(условия!$L$35:$L$46,условия!$L$35:$L$46,MONTH(BD$9)),SUMIFS(условия!$T$1:$AC$1,условия!$T$8:$AC$8,"&lt;="&amp;BD$9,условия!$T$9:$AC$9,"&gt;="&amp;BD$9)))</f>
        <v>0</v>
      </c>
      <c r="BE11" s="33">
        <f>IF(BE$9="",0,INDEX(условия!$T$35:$AC$46,SUMIFS(условия!$L$35:$L$46,условия!$L$35:$L$46,MONTH(BE$9)),SUMIFS(условия!$T$1:$AC$1,условия!$T$8:$AC$8,"&lt;="&amp;BE$9,условия!$T$9:$AC$9,"&gt;="&amp;BE$9)))</f>
        <v>0</v>
      </c>
      <c r="BF11" s="33">
        <f>IF(BF$9="",0,INDEX(условия!$T$35:$AC$46,SUMIFS(условия!$L$35:$L$46,условия!$L$35:$L$46,MONTH(BF$9)),SUMIFS(условия!$T$1:$AC$1,условия!$T$8:$AC$8,"&lt;="&amp;BF$9,условия!$T$9:$AC$9,"&gt;="&amp;BF$9)))</f>
        <v>0</v>
      </c>
      <c r="BG11" s="33">
        <f>IF(BG$9="",0,INDEX(условия!$T$35:$AC$46,SUMIFS(условия!$L$35:$L$46,условия!$L$35:$L$46,MONTH(BG$9)),SUMIFS(условия!$T$1:$AC$1,условия!$T$8:$AC$8,"&lt;="&amp;BG$9,условия!$T$9:$AC$9,"&gt;="&amp;BG$9)))</f>
        <v>0</v>
      </c>
      <c r="BH11" s="33">
        <f>IF(BH$9="",0,INDEX(условия!$T$35:$AC$46,SUMIFS(условия!$L$35:$L$46,условия!$L$35:$L$46,MONTH(BH$9)),SUMIFS(условия!$T$1:$AC$1,условия!$T$8:$AC$8,"&lt;="&amp;BH$9,условия!$T$9:$AC$9,"&gt;="&amp;BH$9)))</f>
        <v>0</v>
      </c>
      <c r="BI11" s="33">
        <f>IF(BI$9="",0,INDEX(условия!$T$35:$AC$46,SUMIFS(условия!$L$35:$L$46,условия!$L$35:$L$46,MONTH(BI$9)),SUMIFS(условия!$T$1:$AC$1,условия!$T$8:$AC$8,"&lt;="&amp;BI$9,условия!$T$9:$AC$9,"&gt;="&amp;BI$9)))</f>
        <v>0</v>
      </c>
      <c r="BJ11" s="33">
        <f>IF(BJ$9="",0,INDEX(условия!$T$35:$AC$46,SUMIFS(условия!$L$35:$L$46,условия!$L$35:$L$46,MONTH(BJ$9)),SUMIFS(условия!$T$1:$AC$1,условия!$T$8:$AC$8,"&lt;="&amp;BJ$9,условия!$T$9:$AC$9,"&gt;="&amp;BJ$9)))</f>
        <v>0</v>
      </c>
      <c r="BK11" s="33">
        <f>IF(BK$9="",0,INDEX(условия!$T$35:$AC$46,SUMIFS(условия!$L$35:$L$46,условия!$L$35:$L$46,MONTH(BK$9)),SUMIFS(условия!$T$1:$AC$1,условия!$T$8:$AC$8,"&lt;="&amp;BK$9,условия!$T$9:$AC$9,"&gt;="&amp;BK$9)))</f>
        <v>0</v>
      </c>
      <c r="BL11" s="33">
        <f>IF(BL$9="",0,INDEX(условия!$T$35:$AC$46,SUMIFS(условия!$L$35:$L$46,условия!$L$35:$L$46,MONTH(BL$9)),SUMIFS(условия!$T$1:$AC$1,условия!$T$8:$AC$8,"&lt;="&amp;BL$9,условия!$T$9:$AC$9,"&gt;="&amp;BL$9)))</f>
        <v>0</v>
      </c>
      <c r="BM11" s="33">
        <f>IF(BM$9="",0,INDEX(условия!$T$35:$AC$46,SUMIFS(условия!$L$35:$L$46,условия!$L$35:$L$46,MONTH(BM$9)),SUMIFS(условия!$T$1:$AC$1,условия!$T$8:$AC$8,"&lt;="&amp;BM$9,условия!$T$9:$AC$9,"&gt;="&amp;BM$9)))</f>
        <v>0</v>
      </c>
      <c r="BN11" s="33">
        <f>IF(BN$9="",0,INDEX(условия!$T$35:$AC$46,SUMIFS(условия!$L$35:$L$46,условия!$L$35:$L$46,MONTH(BN$9)),SUMIFS(условия!$T$1:$AC$1,условия!$T$8:$AC$8,"&lt;="&amp;BN$9,условия!$T$9:$AC$9,"&gt;="&amp;BN$9)))</f>
        <v>0</v>
      </c>
      <c r="BO11" s="33">
        <f>IF(BO$9="",0,INDEX(условия!$T$35:$AC$46,SUMIFS(условия!$L$35:$L$46,условия!$L$35:$L$46,MONTH(BO$9)),SUMIFS(условия!$T$1:$AC$1,условия!$T$8:$AC$8,"&lt;="&amp;BO$9,условия!$T$9:$AC$9,"&gt;="&amp;BO$9)))</f>
        <v>0</v>
      </c>
      <c r="BP11" s="33">
        <f>IF(BP$9="",0,INDEX(условия!$T$35:$AC$46,SUMIFS(условия!$L$35:$L$46,условия!$L$35:$L$46,MONTH(BP$9)),SUMIFS(условия!$T$1:$AC$1,условия!$T$8:$AC$8,"&lt;="&amp;BP$9,условия!$T$9:$AC$9,"&gt;="&amp;BP$9)))</f>
        <v>0</v>
      </c>
      <c r="BQ11" s="33">
        <f>IF(BQ$9="",0,INDEX(условия!$T$35:$AC$46,SUMIFS(условия!$L$35:$L$46,условия!$L$35:$L$46,MONTH(BQ$9)),SUMIFS(условия!$T$1:$AC$1,условия!$T$8:$AC$8,"&lt;="&amp;BQ$9,условия!$T$9:$AC$9,"&gt;="&amp;BQ$9)))</f>
        <v>0</v>
      </c>
      <c r="BR11" s="33">
        <f>IF(BR$9="",0,INDEX(условия!$T$35:$AC$46,SUMIFS(условия!$L$35:$L$46,условия!$L$35:$L$46,MONTH(BR$9)),SUMIFS(условия!$T$1:$AC$1,условия!$T$8:$AC$8,"&lt;="&amp;BR$9,условия!$T$9:$AC$9,"&gt;="&amp;BR$9)))</f>
        <v>0</v>
      </c>
      <c r="BS11" s="33">
        <f>IF(BS$9="",0,INDEX(условия!$T$35:$AC$46,SUMIFS(условия!$L$35:$L$46,условия!$L$35:$L$46,MONTH(BS$9)),SUMIFS(условия!$T$1:$AC$1,условия!$T$8:$AC$8,"&lt;="&amp;BS$9,условия!$T$9:$AC$9,"&gt;="&amp;BS$9)))</f>
        <v>0</v>
      </c>
      <c r="BT11" s="33">
        <f>IF(BT$9="",0,INDEX(условия!$T$35:$AC$46,SUMIFS(условия!$L$35:$L$46,условия!$L$35:$L$46,MONTH(BT$9)),SUMIFS(условия!$T$1:$AC$1,условия!$T$8:$AC$8,"&lt;="&amp;BT$9,условия!$T$9:$AC$9,"&gt;="&amp;BT$9)))</f>
        <v>0</v>
      </c>
      <c r="BU11" s="33">
        <f>IF(BU$9="",0,INDEX(условия!$T$35:$AC$46,SUMIFS(условия!$L$35:$L$46,условия!$L$35:$L$46,MONTH(BU$9)),SUMIFS(условия!$T$1:$AC$1,условия!$T$8:$AC$8,"&lt;="&amp;BU$9,условия!$T$9:$AC$9,"&gt;="&amp;BU$9)))</f>
        <v>0</v>
      </c>
      <c r="BV11" s="33">
        <f>IF(BV$9="",0,INDEX(условия!$T$35:$AC$46,SUMIFS(условия!$L$35:$L$46,условия!$L$35:$L$46,MONTH(BV$9)),SUMIFS(условия!$T$1:$AC$1,условия!$T$8:$AC$8,"&lt;="&amp;BV$9,условия!$T$9:$AC$9,"&gt;="&amp;BV$9)))</f>
        <v>0</v>
      </c>
      <c r="BW11" s="33">
        <f>IF(BW$9="",0,INDEX(условия!$T$35:$AC$46,SUMIFS(условия!$L$35:$L$46,условия!$L$35:$L$46,MONTH(BW$9)),SUMIFS(условия!$T$1:$AC$1,условия!$T$8:$AC$8,"&lt;="&amp;BW$9,условия!$T$9:$AC$9,"&gt;="&amp;BW$9)))</f>
        <v>0</v>
      </c>
      <c r="BX11" s="33">
        <f>IF(BX$9="",0,INDEX(условия!$T$35:$AC$46,SUMIFS(условия!$L$35:$L$46,условия!$L$35:$L$46,MONTH(BX$9)),SUMIFS(условия!$T$1:$AC$1,условия!$T$8:$AC$8,"&lt;="&amp;BX$9,условия!$T$9:$AC$9,"&gt;="&amp;BX$9)))</f>
        <v>0</v>
      </c>
      <c r="BY11" s="33">
        <f>IF(BY$9="",0,INDEX(условия!$T$35:$AC$46,SUMIFS(условия!$L$35:$L$46,условия!$L$35:$L$46,MONTH(BY$9)),SUMIFS(условия!$T$1:$AC$1,условия!$T$8:$AC$8,"&lt;="&amp;BY$9,условия!$T$9:$AC$9,"&gt;="&amp;BY$9)))</f>
        <v>0</v>
      </c>
      <c r="BZ11" s="33">
        <f>IF(BZ$9="",0,INDEX(условия!$T$35:$AC$46,SUMIFS(условия!$L$35:$L$46,условия!$L$35:$L$46,MONTH(BZ$9)),SUMIFS(условия!$T$1:$AC$1,условия!$T$8:$AC$8,"&lt;="&amp;BZ$9,условия!$T$9:$AC$9,"&gt;="&amp;BZ$9)))</f>
        <v>0</v>
      </c>
      <c r="CA11" s="33">
        <f>IF(CA$9="",0,INDEX(условия!$T$35:$AC$46,SUMIFS(условия!$L$35:$L$46,условия!$L$35:$L$46,MONTH(CA$9)),SUMIFS(условия!$T$1:$AC$1,условия!$T$8:$AC$8,"&lt;="&amp;CA$9,условия!$T$9:$AC$9,"&gt;="&amp;CA$9)))</f>
        <v>0</v>
      </c>
      <c r="CB11" s="33">
        <f>IF(CB$9="",0,INDEX(условия!$T$35:$AC$46,SUMIFS(условия!$L$35:$L$46,условия!$L$35:$L$46,MONTH(CB$9)),SUMIFS(условия!$T$1:$AC$1,условия!$T$8:$AC$8,"&lt;="&amp;CB$9,условия!$T$9:$AC$9,"&gt;="&amp;CB$9)))</f>
        <v>0</v>
      </c>
      <c r="CC11" s="33">
        <f>IF(CC$9="",0,INDEX(условия!$T$35:$AC$46,SUMIFS(условия!$L$35:$L$46,условия!$L$35:$L$46,MONTH(CC$9)),SUMIFS(условия!$T$1:$AC$1,условия!$T$8:$AC$8,"&lt;="&amp;CC$9,условия!$T$9:$AC$9,"&gt;="&amp;CC$9)))</f>
        <v>0</v>
      </c>
      <c r="CD11" s="33">
        <f>IF(CD$9="",0,INDEX(условия!$T$35:$AC$46,SUMIFS(условия!$L$35:$L$46,условия!$L$35:$L$46,MONTH(CD$9)),SUMIFS(условия!$T$1:$AC$1,условия!$T$8:$AC$8,"&lt;="&amp;CD$9,условия!$T$9:$AC$9,"&gt;="&amp;CD$9)))</f>
        <v>0</v>
      </c>
      <c r="CE11" s="33">
        <f>IF(CE$9="",0,INDEX(условия!$T$35:$AC$46,SUMIFS(условия!$L$35:$L$46,условия!$L$35:$L$46,MONTH(CE$9)),SUMIFS(условия!$T$1:$AC$1,условия!$T$8:$AC$8,"&lt;="&amp;CE$9,условия!$T$9:$AC$9,"&gt;="&amp;CE$9)))</f>
        <v>0</v>
      </c>
      <c r="CF11" s="33">
        <f>IF(CF$9="",0,INDEX(условия!$T$35:$AC$46,SUMIFS(условия!$L$35:$L$46,условия!$L$35:$L$46,MONTH(CF$9)),SUMIFS(условия!$T$1:$AC$1,условия!$T$8:$AC$8,"&lt;="&amp;CF$9,условия!$T$9:$AC$9,"&gt;="&amp;CF$9)))</f>
        <v>0</v>
      </c>
      <c r="CG11" s="33">
        <f>IF(CG$9="",0,INDEX(условия!$T$35:$AC$46,SUMIFS(условия!$L$35:$L$46,условия!$L$35:$L$46,MONTH(CG$9)),SUMIFS(условия!$T$1:$AC$1,условия!$T$8:$AC$8,"&lt;="&amp;CG$9,условия!$T$9:$AC$9,"&gt;="&amp;CG$9)))</f>
        <v>0</v>
      </c>
      <c r="CH11" s="33">
        <f>IF(CH$9="",0,INDEX(условия!$T$35:$AC$46,SUMIFS(условия!$L$35:$L$46,условия!$L$35:$L$46,MONTH(CH$9)),SUMIFS(условия!$T$1:$AC$1,условия!$T$8:$AC$8,"&lt;="&amp;CH$9,условия!$T$9:$AC$9,"&gt;="&amp;CH$9)))</f>
        <v>0</v>
      </c>
      <c r="CI11" s="33">
        <f>IF(CI$9="",0,INDEX(условия!$T$35:$AC$46,SUMIFS(условия!$L$35:$L$46,условия!$L$35:$L$46,MONTH(CI$9)),SUMIFS(условия!$T$1:$AC$1,условия!$T$8:$AC$8,"&lt;="&amp;CI$9,условия!$T$9:$AC$9,"&gt;="&amp;CI$9)))</f>
        <v>0</v>
      </c>
      <c r="CJ11" s="33">
        <f>IF(CJ$9="",0,INDEX(условия!$T$35:$AC$46,SUMIFS(условия!$L$35:$L$46,условия!$L$35:$L$46,MONTH(CJ$9)),SUMIFS(условия!$T$1:$AC$1,условия!$T$8:$AC$8,"&lt;="&amp;CJ$9,условия!$T$9:$AC$9,"&gt;="&amp;CJ$9)))</f>
        <v>0</v>
      </c>
      <c r="CK11" s="33">
        <f>IF(CK$9="",0,INDEX(условия!$T$35:$AC$46,SUMIFS(условия!$L$35:$L$46,условия!$L$35:$L$46,MONTH(CK$9)),SUMIFS(условия!$T$1:$AC$1,условия!$T$8:$AC$8,"&lt;="&amp;CK$9,условия!$T$9:$AC$9,"&gt;="&amp;CK$9)))</f>
        <v>0</v>
      </c>
      <c r="CL11" s="33">
        <f>IF(CL$9="",0,INDEX(условия!$T$35:$AC$46,SUMIFS(условия!$L$35:$L$46,условия!$L$35:$L$46,MONTH(CL$9)),SUMIFS(условия!$T$1:$AC$1,условия!$T$8:$AC$8,"&lt;="&amp;CL$9,условия!$T$9:$AC$9,"&gt;="&amp;CL$9)))</f>
        <v>0</v>
      </c>
      <c r="CM11" s="33">
        <f>IF(CM$9="",0,INDEX(условия!$T$35:$AC$46,SUMIFS(условия!$L$35:$L$46,условия!$L$35:$L$46,MONTH(CM$9)),SUMIFS(условия!$T$1:$AC$1,условия!$T$8:$AC$8,"&lt;="&amp;CM$9,условия!$T$9:$AC$9,"&gt;="&amp;CM$9)))</f>
        <v>0</v>
      </c>
      <c r="CN11" s="33">
        <f>IF(CN$9="",0,INDEX(условия!$T$35:$AC$46,SUMIFS(условия!$L$35:$L$46,условия!$L$35:$L$46,MONTH(CN$9)),SUMIFS(условия!$T$1:$AC$1,условия!$T$8:$AC$8,"&lt;="&amp;CN$9,условия!$T$9:$AC$9,"&gt;="&amp;CN$9)))</f>
        <v>0</v>
      </c>
      <c r="CO11" s="33">
        <f>IF(CO$9="",0,INDEX(условия!$T$35:$AC$46,SUMIFS(условия!$L$35:$L$46,условия!$L$35:$L$46,MONTH(CO$9)),SUMIFS(условия!$T$1:$AC$1,условия!$T$8:$AC$8,"&lt;="&amp;CO$9,условия!$T$9:$AC$9,"&gt;="&amp;CO$9)))</f>
        <v>0</v>
      </c>
      <c r="CP11" s="33">
        <f>IF(CP$9="",0,INDEX(условия!$T$35:$AC$46,SUMIFS(условия!$L$35:$L$46,условия!$L$35:$L$46,MONTH(CP$9)),SUMIFS(условия!$T$1:$AC$1,условия!$T$8:$AC$8,"&lt;="&amp;CP$9,условия!$T$9:$AC$9,"&gt;="&amp;CP$9)))</f>
        <v>0</v>
      </c>
      <c r="CQ11" s="33">
        <f>IF(CQ$9="",0,INDEX(условия!$T$35:$AC$46,SUMIFS(условия!$L$35:$L$46,условия!$L$35:$L$46,MONTH(CQ$9)),SUMIFS(условия!$T$1:$AC$1,условия!$T$8:$AC$8,"&lt;="&amp;CQ$9,условия!$T$9:$AC$9,"&gt;="&amp;CQ$9)))</f>
        <v>0</v>
      </c>
      <c r="CR11" s="33">
        <f>IF(CR$9="",0,INDEX(условия!$T$35:$AC$46,SUMIFS(условия!$L$35:$L$46,условия!$L$35:$L$46,MONTH(CR$9)),SUMIFS(условия!$T$1:$AC$1,условия!$T$8:$AC$8,"&lt;="&amp;CR$9,условия!$T$9:$AC$9,"&gt;="&amp;CR$9)))</f>
        <v>0</v>
      </c>
      <c r="CS11" s="33">
        <f>IF(CS$9="",0,INDEX(условия!$T$35:$AC$46,SUMIFS(условия!$L$35:$L$46,условия!$L$35:$L$46,MONTH(CS$9)),SUMIFS(условия!$T$1:$AC$1,условия!$T$8:$AC$8,"&lt;="&amp;CS$9,условия!$T$9:$AC$9,"&gt;="&amp;CS$9)))</f>
        <v>0</v>
      </c>
      <c r="CT11" s="33">
        <f>IF(CT$9="",0,INDEX(условия!$T$35:$AC$46,SUMIFS(условия!$L$35:$L$46,условия!$L$35:$L$46,MONTH(CT$9)),SUMIFS(условия!$T$1:$AC$1,условия!$T$8:$AC$8,"&lt;="&amp;CT$9,условия!$T$9:$AC$9,"&gt;="&amp;CT$9)))</f>
        <v>0</v>
      </c>
      <c r="CU11" s="33">
        <f>IF(CU$9="",0,INDEX(условия!$T$35:$AC$46,SUMIFS(условия!$L$35:$L$46,условия!$L$35:$L$46,MONTH(CU$9)),SUMIFS(условия!$T$1:$AC$1,условия!$T$8:$AC$8,"&lt;="&amp;CU$9,условия!$T$9:$AC$9,"&gt;="&amp;CU$9)))</f>
        <v>0</v>
      </c>
      <c r="CV11" s="33">
        <f>IF(CV$9="",0,INDEX(условия!$T$35:$AC$46,SUMIFS(условия!$L$35:$L$46,условия!$L$35:$L$46,MONTH(CV$9)),SUMIFS(условия!$T$1:$AC$1,условия!$T$8:$AC$8,"&lt;="&amp;CV$9,условия!$T$9:$AC$9,"&gt;="&amp;CV$9)))</f>
        <v>0</v>
      </c>
      <c r="CW11" s="33">
        <f>IF(CW$9="",0,INDEX(условия!$T$35:$AC$46,SUMIFS(условия!$L$35:$L$46,условия!$L$35:$L$46,MONTH(CW$9)),SUMIFS(условия!$T$1:$AC$1,условия!$T$8:$AC$8,"&lt;="&amp;CW$9,условия!$T$9:$AC$9,"&gt;="&amp;CW$9)))</f>
        <v>0</v>
      </c>
      <c r="CX11" s="33">
        <f>IF(CX$9="",0,INDEX(условия!$T$35:$AC$46,SUMIFS(условия!$L$35:$L$46,условия!$L$35:$L$46,MONTH(CX$9)),SUMIFS(условия!$T$1:$AC$1,условия!$T$8:$AC$8,"&lt;="&amp;CX$9,условия!$T$9:$AC$9,"&gt;="&amp;CX$9)))</f>
        <v>0</v>
      </c>
      <c r="CY11" s="33">
        <f>IF(CY$9="",0,INDEX(условия!$T$35:$AC$46,SUMIFS(условия!$L$35:$L$46,условия!$L$35:$L$46,MONTH(CY$9)),SUMIFS(условия!$T$1:$AC$1,условия!$T$8:$AC$8,"&lt;="&amp;CY$9,условия!$T$9:$AC$9,"&gt;="&amp;CY$9)))</f>
        <v>0</v>
      </c>
      <c r="CZ11" s="33">
        <f>IF(CZ$9="",0,INDEX(условия!$T$35:$AC$46,SUMIFS(условия!$L$35:$L$46,условия!$L$35:$L$46,MONTH(CZ$9)),SUMIFS(условия!$T$1:$AC$1,условия!$T$8:$AC$8,"&lt;="&amp;CZ$9,условия!$T$9:$AC$9,"&gt;="&amp;CZ$9)))</f>
        <v>0</v>
      </c>
      <c r="DA11" s="33">
        <f>IF(DA$9="",0,INDEX(условия!$T$35:$AC$46,SUMIFS(условия!$L$35:$L$46,условия!$L$35:$L$46,MONTH(DA$9)),SUMIFS(условия!$T$1:$AC$1,условия!$T$8:$AC$8,"&lt;="&amp;DA$9,условия!$T$9:$AC$9,"&gt;="&amp;DA$9)))</f>
        <v>0</v>
      </c>
      <c r="DB11" s="33">
        <f>IF(DB$9="",0,INDEX(условия!$T$35:$AC$46,SUMIFS(условия!$L$35:$L$46,условия!$L$35:$L$46,MONTH(DB$9)),SUMIFS(условия!$T$1:$AC$1,условия!$T$8:$AC$8,"&lt;="&amp;DB$9,условия!$T$9:$AC$9,"&gt;="&amp;DB$9)))</f>
        <v>0</v>
      </c>
      <c r="DC11" s="33">
        <f>IF(DC$9="",0,INDEX(условия!$T$35:$AC$46,SUMIFS(условия!$L$35:$L$46,условия!$L$35:$L$46,MONTH(DC$9)),SUMIFS(условия!$T$1:$AC$1,условия!$T$8:$AC$8,"&lt;="&amp;DC$9,условия!$T$9:$AC$9,"&gt;="&amp;DC$9)))</f>
        <v>0</v>
      </c>
      <c r="DD11" s="33">
        <f>IF(DD$9="",0,INDEX(условия!$T$35:$AC$46,SUMIFS(условия!$L$35:$L$46,условия!$L$35:$L$46,MONTH(DD$9)),SUMIFS(условия!$T$1:$AC$1,условия!$T$8:$AC$8,"&lt;="&amp;DD$9,условия!$T$9:$AC$9,"&gt;="&amp;DD$9)))</f>
        <v>0</v>
      </c>
      <c r="DE11" s="33">
        <f>IF(DE$9="",0,INDEX(условия!$T$35:$AC$46,SUMIFS(условия!$L$35:$L$46,условия!$L$35:$L$46,MONTH(DE$9)),SUMIFS(условия!$T$1:$AC$1,условия!$T$8:$AC$8,"&lt;="&amp;DE$9,условия!$T$9:$AC$9,"&gt;="&amp;DE$9)))</f>
        <v>0</v>
      </c>
      <c r="DF11" s="33">
        <f>IF(DF$9="",0,INDEX(условия!$T$35:$AC$46,SUMIFS(условия!$L$35:$L$46,условия!$L$35:$L$46,MONTH(DF$9)),SUMIFS(условия!$T$1:$AC$1,условия!$T$8:$AC$8,"&lt;="&amp;DF$9,условия!$T$9:$AC$9,"&gt;="&amp;DF$9)))</f>
        <v>0</v>
      </c>
      <c r="DG11" s="33">
        <f>IF(DG$9="",0,INDEX(условия!$T$35:$AC$46,SUMIFS(условия!$L$35:$L$46,условия!$L$35:$L$46,MONTH(DG$9)),SUMIFS(условия!$T$1:$AC$1,условия!$T$8:$AC$8,"&lt;="&amp;DG$9,условия!$T$9:$AC$9,"&gt;="&amp;DG$9)))</f>
        <v>0</v>
      </c>
      <c r="DH11" s="33">
        <f>IF(DH$9="",0,INDEX(условия!$T$35:$AC$46,SUMIFS(условия!$L$35:$L$46,условия!$L$35:$L$46,MONTH(DH$9)),SUMIFS(условия!$T$1:$AC$1,условия!$T$8:$AC$8,"&lt;="&amp;DH$9,условия!$T$9:$AC$9,"&gt;="&amp;DH$9)))</f>
        <v>0</v>
      </c>
      <c r="DI11" s="33">
        <f>IF(DI$9="",0,INDEX(условия!$T$35:$AC$46,SUMIFS(условия!$L$35:$L$46,условия!$L$35:$L$46,MONTH(DI$9)),SUMIFS(условия!$T$1:$AC$1,условия!$T$8:$AC$8,"&lt;="&amp;DI$9,условия!$T$9:$AC$9,"&gt;="&amp;DI$9)))</f>
        <v>0</v>
      </c>
      <c r="DJ11" s="33">
        <f>IF(DJ$9="",0,INDEX(условия!$T$35:$AC$46,SUMIFS(условия!$L$35:$L$46,условия!$L$35:$L$46,MONTH(DJ$9)),SUMIFS(условия!$T$1:$AC$1,условия!$T$8:$AC$8,"&lt;="&amp;DJ$9,условия!$T$9:$AC$9,"&gt;="&amp;DJ$9)))</f>
        <v>0</v>
      </c>
      <c r="DK11" s="33">
        <f>IF(DK$9="",0,INDEX(условия!$T$35:$AC$46,SUMIFS(условия!$L$35:$L$46,условия!$L$35:$L$46,MONTH(DK$9)),SUMIFS(условия!$T$1:$AC$1,условия!$T$8:$AC$8,"&lt;="&amp;DK$9,условия!$T$9:$AC$9,"&gt;="&amp;DK$9)))</f>
        <v>0</v>
      </c>
      <c r="DL11" s="33">
        <f>IF(DL$9="",0,INDEX(условия!$T$35:$AC$46,SUMIFS(условия!$L$35:$L$46,условия!$L$35:$L$46,MONTH(DL$9)),SUMIFS(условия!$T$1:$AC$1,условия!$T$8:$AC$8,"&lt;="&amp;DL$9,условия!$T$9:$AC$9,"&gt;="&amp;DL$9)))</f>
        <v>0</v>
      </c>
      <c r="DM11" s="33">
        <f>IF(DM$9="",0,INDEX(условия!$T$35:$AC$46,SUMIFS(условия!$L$35:$L$46,условия!$L$35:$L$46,MONTH(DM$9)),SUMIFS(условия!$T$1:$AC$1,условия!$T$8:$AC$8,"&lt;="&amp;DM$9,условия!$T$9:$AC$9,"&gt;="&amp;DM$9)))</f>
        <v>0</v>
      </c>
      <c r="DN11" s="33">
        <f>IF(DN$9="",0,INDEX(условия!$T$35:$AC$46,SUMIFS(условия!$L$35:$L$46,условия!$L$35:$L$46,MONTH(DN$9)),SUMIFS(условия!$T$1:$AC$1,условия!$T$8:$AC$8,"&lt;="&amp;DN$9,условия!$T$9:$AC$9,"&gt;="&amp;DN$9)))</f>
        <v>0</v>
      </c>
      <c r="DO11" s="33">
        <f>IF(DO$9="",0,INDEX(условия!$T$35:$AC$46,SUMIFS(условия!$L$35:$L$46,условия!$L$35:$L$46,MONTH(DO$9)),SUMIFS(условия!$T$1:$AC$1,условия!$T$8:$AC$8,"&lt;="&amp;DO$9,условия!$T$9:$AC$9,"&gt;="&amp;DO$9)))</f>
        <v>0</v>
      </c>
      <c r="DP11" s="33">
        <f>IF(DP$9="",0,INDEX(условия!$T$35:$AC$46,SUMIFS(условия!$L$35:$L$46,условия!$L$35:$L$46,MONTH(DP$9)),SUMIFS(условия!$T$1:$AC$1,условия!$T$8:$AC$8,"&lt;="&amp;DP$9,условия!$T$9:$AC$9,"&gt;="&amp;DP$9)))</f>
        <v>0</v>
      </c>
      <c r="DQ11" s="33">
        <f>IF(DQ$9="",0,INDEX(условия!$T$35:$AC$46,SUMIFS(условия!$L$35:$L$46,условия!$L$35:$L$46,MONTH(DQ$9)),SUMIFS(условия!$T$1:$AC$1,условия!$T$8:$AC$8,"&lt;="&amp;DQ$9,условия!$T$9:$AC$9,"&gt;="&amp;DQ$9)))</f>
        <v>0</v>
      </c>
      <c r="DR11" s="33">
        <f>IF(DR$9="",0,INDEX(условия!$T$35:$AC$46,SUMIFS(условия!$L$35:$L$46,условия!$L$35:$L$46,MONTH(DR$9)),SUMIFS(условия!$T$1:$AC$1,условия!$T$8:$AC$8,"&lt;="&amp;DR$9,условия!$T$9:$AC$9,"&gt;="&amp;DR$9)))</f>
        <v>0</v>
      </c>
      <c r="DS11" s="33">
        <f>IF(DS$9="",0,INDEX(условия!$T$35:$AC$46,SUMIFS(условия!$L$35:$L$46,условия!$L$35:$L$46,MONTH(DS$9)),SUMIFS(условия!$T$1:$AC$1,условия!$T$8:$AC$8,"&lt;="&amp;DS$9,условия!$T$9:$AC$9,"&gt;="&amp;DS$9)))</f>
        <v>0</v>
      </c>
      <c r="DT11" s="33">
        <f>IF(DT$9="",0,INDEX(условия!$T$35:$AC$46,SUMIFS(условия!$L$35:$L$46,условия!$L$35:$L$46,MONTH(DT$9)),SUMIFS(условия!$T$1:$AC$1,условия!$T$8:$AC$8,"&lt;="&amp;DT$9,условия!$T$9:$AC$9,"&gt;="&amp;DT$9)))</f>
        <v>0</v>
      </c>
      <c r="DU11" s="33">
        <f>IF(DU$9="",0,INDEX(условия!$T$35:$AC$46,SUMIFS(условия!$L$35:$L$46,условия!$L$35:$L$46,MONTH(DU$9)),SUMIFS(условия!$T$1:$AC$1,условия!$T$8:$AC$8,"&lt;="&amp;DU$9,условия!$T$9:$AC$9,"&gt;="&amp;DU$9)))</f>
        <v>0</v>
      </c>
      <c r="DV11" s="33">
        <f>IF(DV$9="",0,INDEX(условия!$T$35:$AC$46,SUMIFS(условия!$L$35:$L$46,условия!$L$35:$L$46,MONTH(DV$9)),SUMIFS(условия!$T$1:$AC$1,условия!$T$8:$AC$8,"&lt;="&amp;DV$9,условия!$T$9:$AC$9,"&gt;="&amp;DV$9)))</f>
        <v>0</v>
      </c>
      <c r="DW11" s="33">
        <f>IF(DW$9="",0,INDEX(условия!$T$35:$AC$46,SUMIFS(условия!$L$35:$L$46,условия!$L$35:$L$46,MONTH(DW$9)),SUMIFS(условия!$T$1:$AC$1,условия!$T$8:$AC$8,"&lt;="&amp;DW$9,условия!$T$9:$AC$9,"&gt;="&amp;DW$9)))</f>
        <v>0</v>
      </c>
      <c r="DX11" s="33">
        <f>IF(DX$9="",0,INDEX(условия!$T$35:$AC$46,SUMIFS(условия!$L$35:$L$46,условия!$L$35:$L$46,MONTH(DX$9)),SUMIFS(условия!$T$1:$AC$1,условия!$T$8:$AC$8,"&lt;="&amp;DX$9,условия!$T$9:$AC$9,"&gt;="&amp;DX$9)))</f>
        <v>0</v>
      </c>
      <c r="DY11" s="33">
        <f>IF(DY$9="",0,INDEX(условия!$T$35:$AC$46,SUMIFS(условия!$L$35:$L$46,условия!$L$35:$L$46,MONTH(DY$9)),SUMIFS(условия!$T$1:$AC$1,условия!$T$8:$AC$8,"&lt;="&amp;DY$9,условия!$T$9:$AC$9,"&gt;="&amp;DY$9)))</f>
        <v>0</v>
      </c>
      <c r="DZ11" s="33">
        <f>IF(DZ$9="",0,INDEX(условия!$T$35:$AC$46,SUMIFS(условия!$L$35:$L$46,условия!$L$35:$L$46,MONTH(DZ$9)),SUMIFS(условия!$T$1:$AC$1,условия!$T$8:$AC$8,"&lt;="&amp;DZ$9,условия!$T$9:$AC$9,"&gt;="&amp;DZ$9)))</f>
        <v>0</v>
      </c>
      <c r="EA11" s="33">
        <f>IF(EA$9="",0,INDEX(условия!$T$35:$AC$46,SUMIFS(условия!$L$35:$L$46,условия!$L$35:$L$46,MONTH(EA$9)),SUMIFS(условия!$T$1:$AC$1,условия!$T$8:$AC$8,"&lt;="&amp;EA$9,условия!$T$9:$AC$9,"&gt;="&amp;EA$9)))</f>
        <v>0</v>
      </c>
      <c r="EB11" s="33">
        <f>IF(EB$9="",0,INDEX(условия!$T$35:$AC$46,SUMIFS(условия!$L$35:$L$46,условия!$L$35:$L$46,MONTH(EB$9)),SUMIFS(условия!$T$1:$AC$1,условия!$T$8:$AC$8,"&lt;="&amp;EB$9,условия!$T$9:$AC$9,"&gt;="&amp;EB$9)))</f>
        <v>0</v>
      </c>
      <c r="EC11" s="33">
        <f>IF(EC$9="",0,INDEX(условия!$T$35:$AC$46,SUMIFS(условия!$L$35:$L$46,условия!$L$35:$L$46,MONTH(EC$9)),SUMIFS(условия!$T$1:$AC$1,условия!$T$8:$AC$8,"&lt;="&amp;EC$9,условия!$T$9:$AC$9,"&gt;="&amp;EC$9)))</f>
        <v>0</v>
      </c>
      <c r="ED11" s="33">
        <f>IF(ED$9="",0,INDEX(условия!$T$35:$AC$46,SUMIFS(условия!$L$35:$L$46,условия!$L$35:$L$46,MONTH(ED$9)),SUMIFS(условия!$T$1:$AC$1,условия!$T$8:$AC$8,"&lt;="&amp;ED$9,условия!$T$9:$AC$9,"&gt;="&amp;ED$9)))</f>
        <v>0</v>
      </c>
      <c r="EE11" s="33">
        <f>IF(EE$9="",0,INDEX(условия!$T$35:$AC$46,SUMIFS(условия!$L$35:$L$46,условия!$L$35:$L$46,MONTH(EE$9)),SUMIFS(условия!$T$1:$AC$1,условия!$T$8:$AC$8,"&lt;="&amp;EE$9,условия!$T$9:$AC$9,"&gt;="&amp;EE$9)))</f>
        <v>0</v>
      </c>
      <c r="EF11" s="33">
        <f>IF(EF$9="",0,INDEX(условия!$T$35:$AC$46,SUMIFS(условия!$L$35:$L$46,условия!$L$35:$L$46,MONTH(EF$9)),SUMIFS(условия!$T$1:$AC$1,условия!$T$8:$AC$8,"&lt;="&amp;EF$9,условия!$T$9:$AC$9,"&gt;="&amp;EF$9)))</f>
        <v>0</v>
      </c>
      <c r="EG11" s="33">
        <f>IF(EG$9="",0,INDEX(условия!$T$35:$AC$46,SUMIFS(условия!$L$35:$L$46,условия!$L$35:$L$46,MONTH(EG$9)),SUMIFS(условия!$T$1:$AC$1,условия!$T$8:$AC$8,"&lt;="&amp;EG$9,условия!$T$9:$AC$9,"&gt;="&amp;EG$9)))</f>
        <v>0</v>
      </c>
      <c r="EH11" s="33">
        <f>IF(EH$9="",0,INDEX(условия!$T$35:$AC$46,SUMIFS(условия!$L$35:$L$46,условия!$L$35:$L$46,MONTH(EH$9)),SUMIFS(условия!$T$1:$AC$1,условия!$T$8:$AC$8,"&lt;="&amp;EH$9,условия!$T$9:$AC$9,"&gt;="&amp;EH$9)))</f>
        <v>0</v>
      </c>
      <c r="EI11" s="33">
        <f>IF(EI$9="",0,INDEX(условия!$T$35:$AC$46,SUMIFS(условия!$L$35:$L$46,условия!$L$35:$L$46,MONTH(EI$9)),SUMIFS(условия!$T$1:$AC$1,условия!$T$8:$AC$8,"&lt;="&amp;EI$9,условия!$T$9:$AC$9,"&gt;="&amp;EI$9)))</f>
        <v>0</v>
      </c>
      <c r="EJ11" s="3"/>
      <c r="EK11" s="3"/>
    </row>
    <row r="12" spans="1:14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x14ac:dyDescent="0.25">
      <c r="A13" s="3"/>
      <c r="B13" s="3"/>
      <c r="C13" s="3"/>
      <c r="D13" s="3"/>
      <c r="E13" s="3"/>
      <c r="F13" s="10" t="str">
        <f>KPI!$F$17</f>
        <v>месяц ввода в эксплуатацию объектов начальных кап. затрат</v>
      </c>
      <c r="G13" s="3"/>
      <c r="H13" s="3"/>
      <c r="I13" s="3"/>
      <c r="J13" s="5" t="str">
        <f>IF($F13="","",INDEX(KPI!$I$11:$I$275,SUMIFS(KPI!$E$11:$E$275,KPI!$F$11:$F$275,$F13)))</f>
        <v>0/1</v>
      </c>
      <c r="K13" s="3"/>
      <c r="L13" s="3"/>
      <c r="M13" s="3"/>
      <c r="N13" s="3"/>
      <c r="O13" s="3"/>
      <c r="P13" s="3"/>
      <c r="Q13" s="12"/>
      <c r="R13" s="3"/>
      <c r="S13" s="3"/>
      <c r="T13" s="33">
        <f>IF(T$9="",0,IF(AND(T11&lt;&gt;0,SUM(U11:$EJ$11)=0,SUM(U13:$EJ$13)=0),1,IF(MONTH(T$9)=INDEX(условия!$T$48:$AC$48,1,SUMIFS(условия!$T$1:$AC$1,условия!$T$8:$AC$8,"&lt;="&amp;T$9,условия!$T$9:$AC$9,"&gt;="&amp;T$9)),1,0)))</f>
        <v>0</v>
      </c>
      <c r="U13" s="33">
        <f>IF(U$9="",0,IF(AND(U11&lt;&gt;0,SUM(V11:$EJ$11)=0,SUM(V13:$EJ$13)=0),1,IF(MONTH(U$9)=INDEX(условия!$T$48:$AC$48,1,SUMIFS(условия!$T$1:$AC$1,условия!$T$8:$AC$8,"&lt;="&amp;U$9,условия!$T$9:$AC$9,"&gt;="&amp;U$9)),1,0)))</f>
        <v>0</v>
      </c>
      <c r="V13" s="33">
        <f>IF(V$9="",0,IF(AND(V11&lt;&gt;0,SUM(W11:$EJ$11)=0,SUM(W13:$EJ$13)=0),1,IF(MONTH(V$9)=INDEX(условия!$T$48:$AC$48,1,SUMIFS(условия!$T$1:$AC$1,условия!$T$8:$AC$8,"&lt;="&amp;V$9,условия!$T$9:$AC$9,"&gt;="&amp;V$9)),1,0)))</f>
        <v>1</v>
      </c>
      <c r="W13" s="33">
        <f>IF(W$9="",0,IF(AND(W11&lt;&gt;0,SUM(X11:$EJ$11)=0,SUM(X13:$EJ$13)=0),1,IF(MONTH(W$9)=INDEX(условия!$T$48:$AC$48,1,SUMIFS(условия!$T$1:$AC$1,условия!$T$8:$AC$8,"&lt;="&amp;W$9,условия!$T$9:$AC$9,"&gt;="&amp;W$9)),1,0)))</f>
        <v>0</v>
      </c>
      <c r="X13" s="33">
        <f>IF(X$9="",0,IF(AND(X11&lt;&gt;0,SUM(Y11:$EJ$11)=0,SUM(Y13:$EJ$13)=0),1,IF(MONTH(X$9)=INDEX(условия!$T$48:$AC$48,1,SUMIFS(условия!$T$1:$AC$1,условия!$T$8:$AC$8,"&lt;="&amp;X$9,условия!$T$9:$AC$9,"&gt;="&amp;X$9)),1,0)))</f>
        <v>1</v>
      </c>
      <c r="Y13" s="33">
        <f>IF(Y$9="",0,IF(AND(Y11&lt;&gt;0,SUM(Z11:$EJ$11)=0,SUM(Z13:$EJ$13)=0),1,IF(MONTH(Y$9)=INDEX(условия!$T$48:$AC$48,1,SUMIFS(условия!$T$1:$AC$1,условия!$T$8:$AC$8,"&lt;="&amp;Y$9,условия!$T$9:$AC$9,"&gt;="&amp;Y$9)),1,0)))</f>
        <v>0</v>
      </c>
      <c r="Z13" s="33">
        <f>IF(Z$9="",0,IF(AND(Z11&lt;&gt;0,SUM(AA11:$EJ$11)=0,SUM(AA13:$EJ$13)=0),1,IF(MONTH(Z$9)=INDEX(условия!$T$48:$AC$48,1,SUMIFS(условия!$T$1:$AC$1,условия!$T$8:$AC$8,"&lt;="&amp;Z$9,условия!$T$9:$AC$9,"&gt;="&amp;Z$9)),1,0)))</f>
        <v>0</v>
      </c>
      <c r="AA13" s="33">
        <f>IF(AA$9="",0,IF(AND(AA11&lt;&gt;0,SUM(AB11:$EJ$11)=0,SUM(AB13:$EJ$13)=0),1,IF(MONTH(AA$9)=INDEX(условия!$T$48:$AC$48,1,SUMIFS(условия!$T$1:$AC$1,условия!$T$8:$AC$8,"&lt;="&amp;AA$9,условия!$T$9:$AC$9,"&gt;="&amp;AA$9)),1,0)))</f>
        <v>0</v>
      </c>
      <c r="AB13" s="33">
        <f>IF(AB$9="",0,IF(AND(AB11&lt;&gt;0,SUM(AC11:$EJ$11)=0,SUM(AC13:$EJ$13)=0),1,IF(MONTH(AB$9)=INDEX(условия!$T$48:$AC$48,1,SUMIFS(условия!$T$1:$AC$1,условия!$T$8:$AC$8,"&lt;="&amp;AB$9,условия!$T$9:$AC$9,"&gt;="&amp;AB$9)),1,0)))</f>
        <v>0</v>
      </c>
      <c r="AC13" s="33">
        <f>IF(AC$9="",0,IF(AND(AC11&lt;&gt;0,SUM(AD11:$EJ$11)=0,SUM(AD13:$EJ$13)=0),1,IF(MONTH(AC$9)=INDEX(условия!$T$48:$AC$48,1,SUMIFS(условия!$T$1:$AC$1,условия!$T$8:$AC$8,"&lt;="&amp;AC$9,условия!$T$9:$AC$9,"&gt;="&amp;AC$9)),1,0)))</f>
        <v>0</v>
      </c>
      <c r="AD13" s="33">
        <f>IF(AD$9="",0,IF(AND(AD11&lt;&gt;0,SUM(AE11:$EJ$11)=0,SUM(AE13:$EJ$13)=0),1,IF(MONTH(AD$9)=INDEX(условия!$T$48:$AC$48,1,SUMIFS(условия!$T$1:$AC$1,условия!$T$8:$AC$8,"&lt;="&amp;AD$9,условия!$T$9:$AC$9,"&gt;="&amp;AD$9)),1,0)))</f>
        <v>0</v>
      </c>
      <c r="AE13" s="33">
        <f>IF(AE$9="",0,IF(AND(AE11&lt;&gt;0,SUM(AF11:$EJ$11)=0,SUM(AF13:$EJ$13)=0),1,IF(MONTH(AE$9)=INDEX(условия!$T$48:$AC$48,1,SUMIFS(условия!$T$1:$AC$1,условия!$T$8:$AC$8,"&lt;="&amp;AE$9,условия!$T$9:$AC$9,"&gt;="&amp;AE$9)),1,0)))</f>
        <v>0</v>
      </c>
      <c r="AF13" s="33">
        <f>IF(AF$9="",0,IF(AND(AF11&lt;&gt;0,SUM(AG11:$EJ$11)=0,SUM(AG13:$EJ$13)=0),1,IF(MONTH(AF$9)=INDEX(условия!$T$48:$AC$48,1,SUMIFS(условия!$T$1:$AC$1,условия!$T$8:$AC$8,"&lt;="&amp;AF$9,условия!$T$9:$AC$9,"&gt;="&amp;AF$9)),1,0)))</f>
        <v>0</v>
      </c>
      <c r="AG13" s="33">
        <f>IF(AG$9="",0,IF(AND(AG11&lt;&gt;0,SUM(AH11:$EJ$11)=0,SUM(AH13:$EJ$13)=0),1,IF(MONTH(AG$9)=INDEX(условия!$T$48:$AC$48,1,SUMIFS(условия!$T$1:$AC$1,условия!$T$8:$AC$8,"&lt;="&amp;AG$9,условия!$T$9:$AC$9,"&gt;="&amp;AG$9)),1,0)))</f>
        <v>0</v>
      </c>
      <c r="AH13" s="33">
        <f>IF(AH$9="",0,IF(AND(AH11&lt;&gt;0,SUM(AI11:$EJ$11)=0,SUM(AI13:$EJ$13)=0),1,IF(MONTH(AH$9)=INDEX(условия!$T$48:$AC$48,1,SUMIFS(условия!$T$1:$AC$1,условия!$T$8:$AC$8,"&lt;="&amp;AH$9,условия!$T$9:$AC$9,"&gt;="&amp;AH$9)),1,0)))</f>
        <v>0</v>
      </c>
      <c r="AI13" s="33">
        <f>IF(AI$9="",0,IF(AND(AI11&lt;&gt;0,SUM(AJ11:$EJ$11)=0,SUM(AJ13:$EJ$13)=0),1,IF(MONTH(AI$9)=INDEX(условия!$T$48:$AC$48,1,SUMIFS(условия!$T$1:$AC$1,условия!$T$8:$AC$8,"&lt;="&amp;AI$9,условия!$T$9:$AC$9,"&gt;="&amp;AI$9)),1,0)))</f>
        <v>0</v>
      </c>
      <c r="AJ13" s="33">
        <f>IF(AJ$9="",0,IF(AND(AJ11&lt;&gt;0,SUM(AK11:$EJ$11)=0,SUM(AK13:$EJ$13)=0),1,IF(MONTH(AJ$9)=INDEX(условия!$T$48:$AC$48,1,SUMIFS(условия!$T$1:$AC$1,условия!$T$8:$AC$8,"&lt;="&amp;AJ$9,условия!$T$9:$AC$9,"&gt;="&amp;AJ$9)),1,0)))</f>
        <v>0</v>
      </c>
      <c r="AK13" s="33">
        <f>IF(AK$9="",0,IF(AND(AK11&lt;&gt;0,SUM(AL11:$EJ$11)=0,SUM(AL13:$EJ$13)=0),1,IF(MONTH(AK$9)=INDEX(условия!$T$48:$AC$48,1,SUMIFS(условия!$T$1:$AC$1,условия!$T$8:$AC$8,"&lt;="&amp;AK$9,условия!$T$9:$AC$9,"&gt;="&amp;AK$9)),1,0)))</f>
        <v>0</v>
      </c>
      <c r="AL13" s="33">
        <f>IF(AL$9="",0,IF(AND(AL11&lt;&gt;0,SUM(AM11:$EJ$11)=0,SUM(AM13:$EJ$13)=0),1,IF(MONTH(AL$9)=INDEX(условия!$T$48:$AC$48,1,SUMIFS(условия!$T$1:$AC$1,условия!$T$8:$AC$8,"&lt;="&amp;AL$9,условия!$T$9:$AC$9,"&gt;="&amp;AL$9)),1,0)))</f>
        <v>0</v>
      </c>
      <c r="AM13" s="33">
        <f>IF(AM$9="",0,IF(AND(AM11&lt;&gt;0,SUM(AN11:$EJ$11)=0,SUM(AN13:$EJ$13)=0),1,IF(MONTH(AM$9)=INDEX(условия!$T$48:$AC$48,1,SUMIFS(условия!$T$1:$AC$1,условия!$T$8:$AC$8,"&lt;="&amp;AM$9,условия!$T$9:$AC$9,"&gt;="&amp;AM$9)),1,0)))</f>
        <v>0</v>
      </c>
      <c r="AN13" s="33">
        <f>IF(AN$9="",0,IF(AND(AN11&lt;&gt;0,SUM(AO11:$EJ$11)=0,SUM(AO13:$EJ$13)=0),1,IF(MONTH(AN$9)=INDEX(условия!$T$48:$AC$48,1,SUMIFS(условия!$T$1:$AC$1,условия!$T$8:$AC$8,"&lt;="&amp;AN$9,условия!$T$9:$AC$9,"&gt;="&amp;AN$9)),1,0)))</f>
        <v>0</v>
      </c>
      <c r="AO13" s="33">
        <f>IF(AO$9="",0,IF(AND(AO11&lt;&gt;0,SUM(AP11:$EJ$11)=0,SUM(AP13:$EJ$13)=0),1,IF(MONTH(AO$9)=INDEX(условия!$T$48:$AC$48,1,SUMIFS(условия!$T$1:$AC$1,условия!$T$8:$AC$8,"&lt;="&amp;AO$9,условия!$T$9:$AC$9,"&gt;="&amp;AO$9)),1,0)))</f>
        <v>0</v>
      </c>
      <c r="AP13" s="33">
        <f>IF(AP$9="",0,IF(AND(AP11&lt;&gt;0,SUM(AQ11:$EJ$11)=0,SUM(AQ13:$EJ$13)=0),1,IF(MONTH(AP$9)=INDEX(условия!$T$48:$AC$48,1,SUMIFS(условия!$T$1:$AC$1,условия!$T$8:$AC$8,"&lt;="&amp;AP$9,условия!$T$9:$AC$9,"&gt;="&amp;AP$9)),1,0)))</f>
        <v>0</v>
      </c>
      <c r="AQ13" s="33">
        <f>IF(AQ$9="",0,IF(AND(AQ11&lt;&gt;0,SUM(AR11:$EJ$11)=0,SUM(AR13:$EJ$13)=0),1,IF(MONTH(AQ$9)=INDEX(условия!$T$48:$AC$48,1,SUMIFS(условия!$T$1:$AC$1,условия!$T$8:$AC$8,"&lt;="&amp;AQ$9,условия!$T$9:$AC$9,"&gt;="&amp;AQ$9)),1,0)))</f>
        <v>0</v>
      </c>
      <c r="AR13" s="33">
        <f>IF(AR$9="",0,IF(AND(AR11&lt;&gt;0,SUM(AS11:$EJ$11)=0,SUM(AS13:$EJ$13)=0),1,IF(MONTH(AR$9)=INDEX(условия!$T$48:$AC$48,1,SUMIFS(условия!$T$1:$AC$1,условия!$T$8:$AC$8,"&lt;="&amp;AR$9,условия!$T$9:$AC$9,"&gt;="&amp;AR$9)),1,0)))</f>
        <v>0</v>
      </c>
      <c r="AS13" s="33">
        <f>IF(AS$9="",0,IF(AND(AS11&lt;&gt;0,SUM(AT11:$EJ$11)=0,SUM(AT13:$EJ$13)=0),1,IF(MONTH(AS$9)=INDEX(условия!$T$48:$AC$48,1,SUMIFS(условия!$T$1:$AC$1,условия!$T$8:$AC$8,"&lt;="&amp;AS$9,условия!$T$9:$AC$9,"&gt;="&amp;AS$9)),1,0)))</f>
        <v>0</v>
      </c>
      <c r="AT13" s="33">
        <f>IF(AT$9="",0,IF(AND(AT11&lt;&gt;0,SUM(AU11:$EJ$11)=0,SUM(AU13:$EJ$13)=0),1,IF(MONTH(AT$9)=INDEX(условия!$T$48:$AC$48,1,SUMIFS(условия!$T$1:$AC$1,условия!$T$8:$AC$8,"&lt;="&amp;AT$9,условия!$T$9:$AC$9,"&gt;="&amp;AT$9)),1,0)))</f>
        <v>0</v>
      </c>
      <c r="AU13" s="33">
        <f>IF(AU$9="",0,IF(AND(AU11&lt;&gt;0,SUM(AV11:$EJ$11)=0,SUM(AV13:$EJ$13)=0),1,IF(MONTH(AU$9)=INDEX(условия!$T$48:$AC$48,1,SUMIFS(условия!$T$1:$AC$1,условия!$T$8:$AC$8,"&lt;="&amp;AU$9,условия!$T$9:$AC$9,"&gt;="&amp;AU$9)),1,0)))</f>
        <v>0</v>
      </c>
      <c r="AV13" s="33">
        <f>IF(AV$9="",0,IF(AND(AV11&lt;&gt;0,SUM(AW11:$EJ$11)=0,SUM(AW13:$EJ$13)=0),1,IF(MONTH(AV$9)=INDEX(условия!$T$48:$AC$48,1,SUMIFS(условия!$T$1:$AC$1,условия!$T$8:$AC$8,"&lt;="&amp;AV$9,условия!$T$9:$AC$9,"&gt;="&amp;AV$9)),1,0)))</f>
        <v>0</v>
      </c>
      <c r="AW13" s="33">
        <f>IF(AW$9="",0,IF(AND(AW11&lt;&gt;0,SUM(AX11:$EJ$11)=0,SUM(AX13:$EJ$13)=0),1,IF(MONTH(AW$9)=INDEX(условия!$T$48:$AC$48,1,SUMIFS(условия!$T$1:$AC$1,условия!$T$8:$AC$8,"&lt;="&amp;AW$9,условия!$T$9:$AC$9,"&gt;="&amp;AW$9)),1,0)))</f>
        <v>0</v>
      </c>
      <c r="AX13" s="33">
        <f>IF(AX$9="",0,IF(AND(AX11&lt;&gt;0,SUM(AY11:$EJ$11)=0,SUM(AY13:$EJ$13)=0),1,IF(MONTH(AX$9)=INDEX(условия!$T$48:$AC$48,1,SUMIFS(условия!$T$1:$AC$1,условия!$T$8:$AC$8,"&lt;="&amp;AX$9,условия!$T$9:$AC$9,"&gt;="&amp;AX$9)),1,0)))</f>
        <v>0</v>
      </c>
      <c r="AY13" s="33">
        <f>IF(AY$9="",0,IF(AND(AY11&lt;&gt;0,SUM(AZ11:$EJ$11)=0,SUM(AZ13:$EJ$13)=0),1,IF(MONTH(AY$9)=INDEX(условия!$T$48:$AC$48,1,SUMIFS(условия!$T$1:$AC$1,условия!$T$8:$AC$8,"&lt;="&amp;AY$9,условия!$T$9:$AC$9,"&gt;="&amp;AY$9)),1,0)))</f>
        <v>0</v>
      </c>
      <c r="AZ13" s="33">
        <f>IF(AZ$9="",0,IF(AND(AZ11&lt;&gt;0,SUM(BA11:$EJ$11)=0,SUM(BA13:$EJ$13)=0),1,IF(MONTH(AZ$9)=INDEX(условия!$T$48:$AC$48,1,SUMIFS(условия!$T$1:$AC$1,условия!$T$8:$AC$8,"&lt;="&amp;AZ$9,условия!$T$9:$AC$9,"&gt;="&amp;AZ$9)),1,0)))</f>
        <v>0</v>
      </c>
      <c r="BA13" s="33">
        <f>IF(BA$9="",0,IF(AND(BA11&lt;&gt;0,SUM(BB11:$EJ$11)=0,SUM(BB13:$EJ$13)=0),1,IF(MONTH(BA$9)=INDEX(условия!$T$48:$AC$48,1,SUMIFS(условия!$T$1:$AC$1,условия!$T$8:$AC$8,"&lt;="&amp;BA$9,условия!$T$9:$AC$9,"&gt;="&amp;BA$9)),1,0)))</f>
        <v>0</v>
      </c>
      <c r="BB13" s="33">
        <f>IF(BB$9="",0,IF(AND(BB11&lt;&gt;0,SUM(BC11:$EJ$11)=0,SUM(BC13:$EJ$13)=0),1,IF(MONTH(BB$9)=INDEX(условия!$T$48:$AC$48,1,SUMIFS(условия!$T$1:$AC$1,условия!$T$8:$AC$8,"&lt;="&amp;BB$9,условия!$T$9:$AC$9,"&gt;="&amp;BB$9)),1,0)))</f>
        <v>0</v>
      </c>
      <c r="BC13" s="33">
        <f>IF(BC$9="",0,IF(AND(BC11&lt;&gt;0,SUM(BD11:$EJ$11)=0,SUM(BD13:$EJ$13)=0),1,IF(MONTH(BC$9)=INDEX(условия!$T$48:$AC$48,1,SUMIFS(условия!$T$1:$AC$1,условия!$T$8:$AC$8,"&lt;="&amp;BC$9,условия!$T$9:$AC$9,"&gt;="&amp;BC$9)),1,0)))</f>
        <v>0</v>
      </c>
      <c r="BD13" s="33">
        <f>IF(BD$9="",0,IF(AND(BD11&lt;&gt;0,SUM(BE11:$EJ$11)=0,SUM(BE13:$EJ$13)=0),1,IF(MONTH(BD$9)=INDEX(условия!$T$48:$AC$48,1,SUMIFS(условия!$T$1:$AC$1,условия!$T$8:$AC$8,"&lt;="&amp;BD$9,условия!$T$9:$AC$9,"&gt;="&amp;BD$9)),1,0)))</f>
        <v>0</v>
      </c>
      <c r="BE13" s="33">
        <f>IF(BE$9="",0,IF(AND(BE11&lt;&gt;0,SUM(BF11:$EJ$11)=0,SUM(BF13:$EJ$13)=0),1,IF(MONTH(BE$9)=INDEX(условия!$T$48:$AC$48,1,SUMIFS(условия!$T$1:$AC$1,условия!$T$8:$AC$8,"&lt;="&amp;BE$9,условия!$T$9:$AC$9,"&gt;="&amp;BE$9)),1,0)))</f>
        <v>0</v>
      </c>
      <c r="BF13" s="33">
        <f>IF(BF$9="",0,IF(AND(BF11&lt;&gt;0,SUM(BG11:$EJ$11)=0,SUM(BG13:$EJ$13)=0),1,IF(MONTH(BF$9)=INDEX(условия!$T$48:$AC$48,1,SUMIFS(условия!$T$1:$AC$1,условия!$T$8:$AC$8,"&lt;="&amp;BF$9,условия!$T$9:$AC$9,"&gt;="&amp;BF$9)),1,0)))</f>
        <v>0</v>
      </c>
      <c r="BG13" s="33">
        <f>IF(BG$9="",0,IF(AND(BG11&lt;&gt;0,SUM(BH11:$EJ$11)=0,SUM(BH13:$EJ$13)=0),1,IF(MONTH(BG$9)=INDEX(условия!$T$48:$AC$48,1,SUMIFS(условия!$T$1:$AC$1,условия!$T$8:$AC$8,"&lt;="&amp;BG$9,условия!$T$9:$AC$9,"&gt;="&amp;BG$9)),1,0)))</f>
        <v>0</v>
      </c>
      <c r="BH13" s="33">
        <f>IF(BH$9="",0,IF(AND(BH11&lt;&gt;0,SUM(BI11:$EJ$11)=0,SUM(BI13:$EJ$13)=0),1,IF(MONTH(BH$9)=INDEX(условия!$T$48:$AC$48,1,SUMIFS(условия!$T$1:$AC$1,условия!$T$8:$AC$8,"&lt;="&amp;BH$9,условия!$T$9:$AC$9,"&gt;="&amp;BH$9)),1,0)))</f>
        <v>0</v>
      </c>
      <c r="BI13" s="33">
        <f>IF(BI$9="",0,IF(AND(BI11&lt;&gt;0,SUM(BJ11:$EJ$11)=0,SUM(BJ13:$EJ$13)=0),1,IF(MONTH(BI$9)=INDEX(условия!$T$48:$AC$48,1,SUMIFS(условия!$T$1:$AC$1,условия!$T$8:$AC$8,"&lt;="&amp;BI$9,условия!$T$9:$AC$9,"&gt;="&amp;BI$9)),1,0)))</f>
        <v>0</v>
      </c>
      <c r="BJ13" s="33">
        <f>IF(BJ$9="",0,IF(AND(BJ11&lt;&gt;0,SUM(BK11:$EJ$11)=0,SUM(BK13:$EJ$13)=0),1,IF(MONTH(BJ$9)=INDEX(условия!$T$48:$AC$48,1,SUMIFS(условия!$T$1:$AC$1,условия!$T$8:$AC$8,"&lt;="&amp;BJ$9,условия!$T$9:$AC$9,"&gt;="&amp;BJ$9)),1,0)))</f>
        <v>0</v>
      </c>
      <c r="BK13" s="33">
        <f>IF(BK$9="",0,IF(AND(BK11&lt;&gt;0,SUM(BL11:$EJ$11)=0,SUM(BL13:$EJ$13)=0),1,IF(MONTH(BK$9)=INDEX(условия!$T$48:$AC$48,1,SUMIFS(условия!$T$1:$AC$1,условия!$T$8:$AC$8,"&lt;="&amp;BK$9,условия!$T$9:$AC$9,"&gt;="&amp;BK$9)),1,0)))</f>
        <v>0</v>
      </c>
      <c r="BL13" s="33">
        <f>IF(BL$9="",0,IF(AND(BL11&lt;&gt;0,SUM(BM11:$EJ$11)=0,SUM(BM13:$EJ$13)=0),1,IF(MONTH(BL$9)=INDEX(условия!$T$48:$AC$48,1,SUMIFS(условия!$T$1:$AC$1,условия!$T$8:$AC$8,"&lt;="&amp;BL$9,условия!$T$9:$AC$9,"&gt;="&amp;BL$9)),1,0)))</f>
        <v>0</v>
      </c>
      <c r="BM13" s="33">
        <f>IF(BM$9="",0,IF(AND(BM11&lt;&gt;0,SUM(BN11:$EJ$11)=0,SUM(BN13:$EJ$13)=0),1,IF(MONTH(BM$9)=INDEX(условия!$T$48:$AC$48,1,SUMIFS(условия!$T$1:$AC$1,условия!$T$8:$AC$8,"&lt;="&amp;BM$9,условия!$T$9:$AC$9,"&gt;="&amp;BM$9)),1,0)))</f>
        <v>0</v>
      </c>
      <c r="BN13" s="33">
        <f>IF(BN$9="",0,IF(AND(BN11&lt;&gt;0,SUM(BO11:$EJ$11)=0,SUM(BO13:$EJ$13)=0),1,IF(MONTH(BN$9)=INDEX(условия!$T$48:$AC$48,1,SUMIFS(условия!$T$1:$AC$1,условия!$T$8:$AC$8,"&lt;="&amp;BN$9,условия!$T$9:$AC$9,"&gt;="&amp;BN$9)),1,0)))</f>
        <v>0</v>
      </c>
      <c r="BO13" s="33">
        <f>IF(BO$9="",0,IF(AND(BO11&lt;&gt;0,SUM(BP11:$EJ$11)=0,SUM(BP13:$EJ$13)=0),1,IF(MONTH(BO$9)=INDEX(условия!$T$48:$AC$48,1,SUMIFS(условия!$T$1:$AC$1,условия!$T$8:$AC$8,"&lt;="&amp;BO$9,условия!$T$9:$AC$9,"&gt;="&amp;BO$9)),1,0)))</f>
        <v>0</v>
      </c>
      <c r="BP13" s="33">
        <f>IF(BP$9="",0,IF(AND(BP11&lt;&gt;0,SUM(BQ11:$EJ$11)=0,SUM(BQ13:$EJ$13)=0),1,IF(MONTH(BP$9)=INDEX(условия!$T$48:$AC$48,1,SUMIFS(условия!$T$1:$AC$1,условия!$T$8:$AC$8,"&lt;="&amp;BP$9,условия!$T$9:$AC$9,"&gt;="&amp;BP$9)),1,0)))</f>
        <v>0</v>
      </c>
      <c r="BQ13" s="33">
        <f>IF(BQ$9="",0,IF(AND(BQ11&lt;&gt;0,SUM(BR11:$EJ$11)=0,SUM(BR13:$EJ$13)=0),1,IF(MONTH(BQ$9)=INDEX(условия!$T$48:$AC$48,1,SUMIFS(условия!$T$1:$AC$1,условия!$T$8:$AC$8,"&lt;="&amp;BQ$9,условия!$T$9:$AC$9,"&gt;="&amp;BQ$9)),1,0)))</f>
        <v>0</v>
      </c>
      <c r="BR13" s="33">
        <f>IF(BR$9="",0,IF(AND(BR11&lt;&gt;0,SUM(BS11:$EJ$11)=0,SUM(BS13:$EJ$13)=0),1,IF(MONTH(BR$9)=INDEX(условия!$T$48:$AC$48,1,SUMIFS(условия!$T$1:$AC$1,условия!$T$8:$AC$8,"&lt;="&amp;BR$9,условия!$T$9:$AC$9,"&gt;="&amp;BR$9)),1,0)))</f>
        <v>0</v>
      </c>
      <c r="BS13" s="33">
        <f>IF(BS$9="",0,IF(AND(BS11&lt;&gt;0,SUM(BT11:$EJ$11)=0,SUM(BT13:$EJ$13)=0),1,IF(MONTH(BS$9)=INDEX(условия!$T$48:$AC$48,1,SUMIFS(условия!$T$1:$AC$1,условия!$T$8:$AC$8,"&lt;="&amp;BS$9,условия!$T$9:$AC$9,"&gt;="&amp;BS$9)),1,0)))</f>
        <v>0</v>
      </c>
      <c r="BT13" s="33">
        <f>IF(BT$9="",0,IF(AND(BT11&lt;&gt;0,SUM(BU11:$EJ$11)=0,SUM(BU13:$EJ$13)=0),1,IF(MONTH(BT$9)=INDEX(условия!$T$48:$AC$48,1,SUMIFS(условия!$T$1:$AC$1,условия!$T$8:$AC$8,"&lt;="&amp;BT$9,условия!$T$9:$AC$9,"&gt;="&amp;BT$9)),1,0)))</f>
        <v>0</v>
      </c>
      <c r="BU13" s="33">
        <f>IF(BU$9="",0,IF(AND(BU11&lt;&gt;0,SUM(BV11:$EJ$11)=0,SUM(BV13:$EJ$13)=0),1,IF(MONTH(BU$9)=INDEX(условия!$T$48:$AC$48,1,SUMIFS(условия!$T$1:$AC$1,условия!$T$8:$AC$8,"&lt;="&amp;BU$9,условия!$T$9:$AC$9,"&gt;="&amp;BU$9)),1,0)))</f>
        <v>0</v>
      </c>
      <c r="BV13" s="33">
        <f>IF(BV$9="",0,IF(AND(BV11&lt;&gt;0,SUM(BW11:$EJ$11)=0,SUM(BW13:$EJ$13)=0),1,IF(MONTH(BV$9)=INDEX(условия!$T$48:$AC$48,1,SUMIFS(условия!$T$1:$AC$1,условия!$T$8:$AC$8,"&lt;="&amp;BV$9,условия!$T$9:$AC$9,"&gt;="&amp;BV$9)),1,0)))</f>
        <v>0</v>
      </c>
      <c r="BW13" s="33">
        <f>IF(BW$9="",0,IF(AND(BW11&lt;&gt;0,SUM(BX11:$EJ$11)=0,SUM(BX13:$EJ$13)=0),1,IF(MONTH(BW$9)=INDEX(условия!$T$48:$AC$48,1,SUMIFS(условия!$T$1:$AC$1,условия!$T$8:$AC$8,"&lt;="&amp;BW$9,условия!$T$9:$AC$9,"&gt;="&amp;BW$9)),1,0)))</f>
        <v>0</v>
      </c>
      <c r="BX13" s="33">
        <f>IF(BX$9="",0,IF(AND(BX11&lt;&gt;0,SUM(BY11:$EJ$11)=0,SUM(BY13:$EJ$13)=0),1,IF(MONTH(BX$9)=INDEX(условия!$T$48:$AC$48,1,SUMIFS(условия!$T$1:$AC$1,условия!$T$8:$AC$8,"&lt;="&amp;BX$9,условия!$T$9:$AC$9,"&gt;="&amp;BX$9)),1,0)))</f>
        <v>0</v>
      </c>
      <c r="BY13" s="33">
        <f>IF(BY$9="",0,IF(AND(BY11&lt;&gt;0,SUM(BZ11:$EJ$11)=0,SUM(BZ13:$EJ$13)=0),1,IF(MONTH(BY$9)=INDEX(условия!$T$48:$AC$48,1,SUMIFS(условия!$T$1:$AC$1,условия!$T$8:$AC$8,"&lt;="&amp;BY$9,условия!$T$9:$AC$9,"&gt;="&amp;BY$9)),1,0)))</f>
        <v>0</v>
      </c>
      <c r="BZ13" s="33">
        <f>IF(BZ$9="",0,IF(AND(BZ11&lt;&gt;0,SUM(CA11:$EJ$11)=0,SUM(CA13:$EJ$13)=0),1,IF(MONTH(BZ$9)=INDEX(условия!$T$48:$AC$48,1,SUMIFS(условия!$T$1:$AC$1,условия!$T$8:$AC$8,"&lt;="&amp;BZ$9,условия!$T$9:$AC$9,"&gt;="&amp;BZ$9)),1,0)))</f>
        <v>0</v>
      </c>
      <c r="CA13" s="33">
        <f>IF(CA$9="",0,IF(AND(CA11&lt;&gt;0,SUM(CB11:$EJ$11)=0,SUM(CB13:$EJ$13)=0),1,IF(MONTH(CA$9)=INDEX(условия!$T$48:$AC$48,1,SUMIFS(условия!$T$1:$AC$1,условия!$T$8:$AC$8,"&lt;="&amp;CA$9,условия!$T$9:$AC$9,"&gt;="&amp;CA$9)),1,0)))</f>
        <v>0</v>
      </c>
      <c r="CB13" s="33">
        <f>IF(CB$9="",0,IF(AND(CB11&lt;&gt;0,SUM(CC11:$EJ$11)=0,SUM(CC13:$EJ$13)=0),1,IF(MONTH(CB$9)=INDEX(условия!$T$48:$AC$48,1,SUMIFS(условия!$T$1:$AC$1,условия!$T$8:$AC$8,"&lt;="&amp;CB$9,условия!$T$9:$AC$9,"&gt;="&amp;CB$9)),1,0)))</f>
        <v>0</v>
      </c>
      <c r="CC13" s="33">
        <f>IF(CC$9="",0,IF(AND(CC11&lt;&gt;0,SUM(CD11:$EJ$11)=0,SUM(CD13:$EJ$13)=0),1,IF(MONTH(CC$9)=INDEX(условия!$T$48:$AC$48,1,SUMIFS(условия!$T$1:$AC$1,условия!$T$8:$AC$8,"&lt;="&amp;CC$9,условия!$T$9:$AC$9,"&gt;="&amp;CC$9)),1,0)))</f>
        <v>0</v>
      </c>
      <c r="CD13" s="33">
        <f>IF(CD$9="",0,IF(AND(CD11&lt;&gt;0,SUM(CE11:$EJ$11)=0,SUM(CE13:$EJ$13)=0),1,IF(MONTH(CD$9)=INDEX(условия!$T$48:$AC$48,1,SUMIFS(условия!$T$1:$AC$1,условия!$T$8:$AC$8,"&lt;="&amp;CD$9,условия!$T$9:$AC$9,"&gt;="&amp;CD$9)),1,0)))</f>
        <v>0</v>
      </c>
      <c r="CE13" s="33">
        <f>IF(CE$9="",0,IF(AND(CE11&lt;&gt;0,SUM(CF11:$EJ$11)=0,SUM(CF13:$EJ$13)=0),1,IF(MONTH(CE$9)=INDEX(условия!$T$48:$AC$48,1,SUMIFS(условия!$T$1:$AC$1,условия!$T$8:$AC$8,"&lt;="&amp;CE$9,условия!$T$9:$AC$9,"&gt;="&amp;CE$9)),1,0)))</f>
        <v>0</v>
      </c>
      <c r="CF13" s="33">
        <f>IF(CF$9="",0,IF(AND(CF11&lt;&gt;0,SUM(CG11:$EJ$11)=0,SUM(CG13:$EJ$13)=0),1,IF(MONTH(CF$9)=INDEX(условия!$T$48:$AC$48,1,SUMIFS(условия!$T$1:$AC$1,условия!$T$8:$AC$8,"&lt;="&amp;CF$9,условия!$T$9:$AC$9,"&gt;="&amp;CF$9)),1,0)))</f>
        <v>0</v>
      </c>
      <c r="CG13" s="33">
        <f>IF(CG$9="",0,IF(AND(CG11&lt;&gt;0,SUM(CH11:$EJ$11)=0,SUM(CH13:$EJ$13)=0),1,IF(MONTH(CG$9)=INDEX(условия!$T$48:$AC$48,1,SUMIFS(условия!$T$1:$AC$1,условия!$T$8:$AC$8,"&lt;="&amp;CG$9,условия!$T$9:$AC$9,"&gt;="&amp;CG$9)),1,0)))</f>
        <v>0</v>
      </c>
      <c r="CH13" s="33">
        <f>IF(CH$9="",0,IF(AND(CH11&lt;&gt;0,SUM(CI11:$EJ$11)=0,SUM(CI13:$EJ$13)=0),1,IF(MONTH(CH$9)=INDEX(условия!$T$48:$AC$48,1,SUMIFS(условия!$T$1:$AC$1,условия!$T$8:$AC$8,"&lt;="&amp;CH$9,условия!$T$9:$AC$9,"&gt;="&amp;CH$9)),1,0)))</f>
        <v>0</v>
      </c>
      <c r="CI13" s="33">
        <f>IF(CI$9="",0,IF(AND(CI11&lt;&gt;0,SUM(CJ11:$EJ$11)=0,SUM(CJ13:$EJ$13)=0),1,IF(MONTH(CI$9)=INDEX(условия!$T$48:$AC$48,1,SUMIFS(условия!$T$1:$AC$1,условия!$T$8:$AC$8,"&lt;="&amp;CI$9,условия!$T$9:$AC$9,"&gt;="&amp;CI$9)),1,0)))</f>
        <v>0</v>
      </c>
      <c r="CJ13" s="33">
        <f>IF(CJ$9="",0,IF(AND(CJ11&lt;&gt;0,SUM(CK11:$EJ$11)=0,SUM(CK13:$EJ$13)=0),1,IF(MONTH(CJ$9)=INDEX(условия!$T$48:$AC$48,1,SUMIFS(условия!$T$1:$AC$1,условия!$T$8:$AC$8,"&lt;="&amp;CJ$9,условия!$T$9:$AC$9,"&gt;="&amp;CJ$9)),1,0)))</f>
        <v>0</v>
      </c>
      <c r="CK13" s="33">
        <f>IF(CK$9="",0,IF(AND(CK11&lt;&gt;0,SUM(CL11:$EJ$11)=0,SUM(CL13:$EJ$13)=0),1,IF(MONTH(CK$9)=INDEX(условия!$T$48:$AC$48,1,SUMIFS(условия!$T$1:$AC$1,условия!$T$8:$AC$8,"&lt;="&amp;CK$9,условия!$T$9:$AC$9,"&gt;="&amp;CK$9)),1,0)))</f>
        <v>0</v>
      </c>
      <c r="CL13" s="33">
        <f>IF(CL$9="",0,IF(AND(CL11&lt;&gt;0,SUM(CM11:$EJ$11)=0,SUM(CM13:$EJ$13)=0),1,IF(MONTH(CL$9)=INDEX(условия!$T$48:$AC$48,1,SUMIFS(условия!$T$1:$AC$1,условия!$T$8:$AC$8,"&lt;="&amp;CL$9,условия!$T$9:$AC$9,"&gt;="&amp;CL$9)),1,0)))</f>
        <v>0</v>
      </c>
      <c r="CM13" s="33">
        <f>IF(CM$9="",0,IF(AND(CM11&lt;&gt;0,SUM(CN11:$EJ$11)=0,SUM(CN13:$EJ$13)=0),1,IF(MONTH(CM$9)=INDEX(условия!$T$48:$AC$48,1,SUMIFS(условия!$T$1:$AC$1,условия!$T$8:$AC$8,"&lt;="&amp;CM$9,условия!$T$9:$AC$9,"&gt;="&amp;CM$9)),1,0)))</f>
        <v>0</v>
      </c>
      <c r="CN13" s="33">
        <f>IF(CN$9="",0,IF(AND(CN11&lt;&gt;0,SUM(CO11:$EJ$11)=0,SUM(CO13:$EJ$13)=0),1,IF(MONTH(CN$9)=INDEX(условия!$T$48:$AC$48,1,SUMIFS(условия!$T$1:$AC$1,условия!$T$8:$AC$8,"&lt;="&amp;CN$9,условия!$T$9:$AC$9,"&gt;="&amp;CN$9)),1,0)))</f>
        <v>0</v>
      </c>
      <c r="CO13" s="33">
        <f>IF(CO$9="",0,IF(AND(CO11&lt;&gt;0,SUM(CP11:$EJ$11)=0,SUM(CP13:$EJ$13)=0),1,IF(MONTH(CO$9)=INDEX(условия!$T$48:$AC$48,1,SUMIFS(условия!$T$1:$AC$1,условия!$T$8:$AC$8,"&lt;="&amp;CO$9,условия!$T$9:$AC$9,"&gt;="&amp;CO$9)),1,0)))</f>
        <v>0</v>
      </c>
      <c r="CP13" s="33">
        <f>IF(CP$9="",0,IF(AND(CP11&lt;&gt;0,SUM(CQ11:$EJ$11)=0,SUM(CQ13:$EJ$13)=0),1,IF(MONTH(CP$9)=INDEX(условия!$T$48:$AC$48,1,SUMIFS(условия!$T$1:$AC$1,условия!$T$8:$AC$8,"&lt;="&amp;CP$9,условия!$T$9:$AC$9,"&gt;="&amp;CP$9)),1,0)))</f>
        <v>0</v>
      </c>
      <c r="CQ13" s="33">
        <f>IF(CQ$9="",0,IF(AND(CQ11&lt;&gt;0,SUM(CR11:$EJ$11)=0,SUM(CR13:$EJ$13)=0),1,IF(MONTH(CQ$9)=INDEX(условия!$T$48:$AC$48,1,SUMIFS(условия!$T$1:$AC$1,условия!$T$8:$AC$8,"&lt;="&amp;CQ$9,условия!$T$9:$AC$9,"&gt;="&amp;CQ$9)),1,0)))</f>
        <v>0</v>
      </c>
      <c r="CR13" s="33">
        <f>IF(CR$9="",0,IF(AND(CR11&lt;&gt;0,SUM(CS11:$EJ$11)=0,SUM(CS13:$EJ$13)=0),1,IF(MONTH(CR$9)=INDEX(условия!$T$48:$AC$48,1,SUMIFS(условия!$T$1:$AC$1,условия!$T$8:$AC$8,"&lt;="&amp;CR$9,условия!$T$9:$AC$9,"&gt;="&amp;CR$9)),1,0)))</f>
        <v>0</v>
      </c>
      <c r="CS13" s="33">
        <f>IF(CS$9="",0,IF(AND(CS11&lt;&gt;0,SUM(CT11:$EJ$11)=0,SUM(CT13:$EJ$13)=0),1,IF(MONTH(CS$9)=INDEX(условия!$T$48:$AC$48,1,SUMIFS(условия!$T$1:$AC$1,условия!$T$8:$AC$8,"&lt;="&amp;CS$9,условия!$T$9:$AC$9,"&gt;="&amp;CS$9)),1,0)))</f>
        <v>0</v>
      </c>
      <c r="CT13" s="33">
        <f>IF(CT$9="",0,IF(AND(CT11&lt;&gt;0,SUM(CU11:$EJ$11)=0,SUM(CU13:$EJ$13)=0),1,IF(MONTH(CT$9)=INDEX(условия!$T$48:$AC$48,1,SUMIFS(условия!$T$1:$AC$1,условия!$T$8:$AC$8,"&lt;="&amp;CT$9,условия!$T$9:$AC$9,"&gt;="&amp;CT$9)),1,0)))</f>
        <v>0</v>
      </c>
      <c r="CU13" s="33">
        <f>IF(CU$9="",0,IF(AND(CU11&lt;&gt;0,SUM(CV11:$EJ$11)=0,SUM(CV13:$EJ$13)=0),1,IF(MONTH(CU$9)=INDEX(условия!$T$48:$AC$48,1,SUMIFS(условия!$T$1:$AC$1,условия!$T$8:$AC$8,"&lt;="&amp;CU$9,условия!$T$9:$AC$9,"&gt;="&amp;CU$9)),1,0)))</f>
        <v>0</v>
      </c>
      <c r="CV13" s="33">
        <f>IF(CV$9="",0,IF(AND(CV11&lt;&gt;0,SUM(CW11:$EJ$11)=0,SUM(CW13:$EJ$13)=0),1,IF(MONTH(CV$9)=INDEX(условия!$T$48:$AC$48,1,SUMIFS(условия!$T$1:$AC$1,условия!$T$8:$AC$8,"&lt;="&amp;CV$9,условия!$T$9:$AC$9,"&gt;="&amp;CV$9)),1,0)))</f>
        <v>0</v>
      </c>
      <c r="CW13" s="33">
        <f>IF(CW$9="",0,IF(AND(CW11&lt;&gt;0,SUM(CX11:$EJ$11)=0,SUM(CX13:$EJ$13)=0),1,IF(MONTH(CW$9)=INDEX(условия!$T$48:$AC$48,1,SUMIFS(условия!$T$1:$AC$1,условия!$T$8:$AC$8,"&lt;="&amp;CW$9,условия!$T$9:$AC$9,"&gt;="&amp;CW$9)),1,0)))</f>
        <v>0</v>
      </c>
      <c r="CX13" s="33">
        <f>IF(CX$9="",0,IF(AND(CX11&lt;&gt;0,SUM(CY11:$EJ$11)=0,SUM(CY13:$EJ$13)=0),1,IF(MONTH(CX$9)=INDEX(условия!$T$48:$AC$48,1,SUMIFS(условия!$T$1:$AC$1,условия!$T$8:$AC$8,"&lt;="&amp;CX$9,условия!$T$9:$AC$9,"&gt;="&amp;CX$9)),1,0)))</f>
        <v>0</v>
      </c>
      <c r="CY13" s="33">
        <f>IF(CY$9="",0,IF(AND(CY11&lt;&gt;0,SUM(CZ11:$EJ$11)=0,SUM(CZ13:$EJ$13)=0),1,IF(MONTH(CY$9)=INDEX(условия!$T$48:$AC$48,1,SUMIFS(условия!$T$1:$AC$1,условия!$T$8:$AC$8,"&lt;="&amp;CY$9,условия!$T$9:$AC$9,"&gt;="&amp;CY$9)),1,0)))</f>
        <v>0</v>
      </c>
      <c r="CZ13" s="33">
        <f>IF(CZ$9="",0,IF(AND(CZ11&lt;&gt;0,SUM(DA11:$EJ$11)=0,SUM(DA13:$EJ$13)=0),1,IF(MONTH(CZ$9)=INDEX(условия!$T$48:$AC$48,1,SUMIFS(условия!$T$1:$AC$1,условия!$T$8:$AC$8,"&lt;="&amp;CZ$9,условия!$T$9:$AC$9,"&gt;="&amp;CZ$9)),1,0)))</f>
        <v>0</v>
      </c>
      <c r="DA13" s="33">
        <f>IF(DA$9="",0,IF(AND(DA11&lt;&gt;0,SUM(DB11:$EJ$11)=0,SUM(DB13:$EJ$13)=0),1,IF(MONTH(DA$9)=INDEX(условия!$T$48:$AC$48,1,SUMIFS(условия!$T$1:$AC$1,условия!$T$8:$AC$8,"&lt;="&amp;DA$9,условия!$T$9:$AC$9,"&gt;="&amp;DA$9)),1,0)))</f>
        <v>0</v>
      </c>
      <c r="DB13" s="33">
        <f>IF(DB$9="",0,IF(AND(DB11&lt;&gt;0,SUM(DC11:$EJ$11)=0,SUM(DC13:$EJ$13)=0),1,IF(MONTH(DB$9)=INDEX(условия!$T$48:$AC$48,1,SUMIFS(условия!$T$1:$AC$1,условия!$T$8:$AC$8,"&lt;="&amp;DB$9,условия!$T$9:$AC$9,"&gt;="&amp;DB$9)),1,0)))</f>
        <v>0</v>
      </c>
      <c r="DC13" s="33">
        <f>IF(DC$9="",0,IF(AND(DC11&lt;&gt;0,SUM(DD11:$EJ$11)=0,SUM(DD13:$EJ$13)=0),1,IF(MONTH(DC$9)=INDEX(условия!$T$48:$AC$48,1,SUMIFS(условия!$T$1:$AC$1,условия!$T$8:$AC$8,"&lt;="&amp;DC$9,условия!$T$9:$AC$9,"&gt;="&amp;DC$9)),1,0)))</f>
        <v>0</v>
      </c>
      <c r="DD13" s="33">
        <f>IF(DD$9="",0,IF(AND(DD11&lt;&gt;0,SUM(DE11:$EJ$11)=0,SUM(DE13:$EJ$13)=0),1,IF(MONTH(DD$9)=INDEX(условия!$T$48:$AC$48,1,SUMIFS(условия!$T$1:$AC$1,условия!$T$8:$AC$8,"&lt;="&amp;DD$9,условия!$T$9:$AC$9,"&gt;="&amp;DD$9)),1,0)))</f>
        <v>0</v>
      </c>
      <c r="DE13" s="33">
        <f>IF(DE$9="",0,IF(AND(DE11&lt;&gt;0,SUM(DF11:$EJ$11)=0,SUM(DF13:$EJ$13)=0),1,IF(MONTH(DE$9)=INDEX(условия!$T$48:$AC$48,1,SUMIFS(условия!$T$1:$AC$1,условия!$T$8:$AC$8,"&lt;="&amp;DE$9,условия!$T$9:$AC$9,"&gt;="&amp;DE$9)),1,0)))</f>
        <v>0</v>
      </c>
      <c r="DF13" s="33">
        <f>IF(DF$9="",0,IF(AND(DF11&lt;&gt;0,SUM(DG11:$EJ$11)=0,SUM(DG13:$EJ$13)=0),1,IF(MONTH(DF$9)=INDEX(условия!$T$48:$AC$48,1,SUMIFS(условия!$T$1:$AC$1,условия!$T$8:$AC$8,"&lt;="&amp;DF$9,условия!$T$9:$AC$9,"&gt;="&amp;DF$9)),1,0)))</f>
        <v>0</v>
      </c>
      <c r="DG13" s="33">
        <f>IF(DG$9="",0,IF(AND(DG11&lt;&gt;0,SUM(DH11:$EJ$11)=0,SUM(DH13:$EJ$13)=0),1,IF(MONTH(DG$9)=INDEX(условия!$T$48:$AC$48,1,SUMIFS(условия!$T$1:$AC$1,условия!$T$8:$AC$8,"&lt;="&amp;DG$9,условия!$T$9:$AC$9,"&gt;="&amp;DG$9)),1,0)))</f>
        <v>0</v>
      </c>
      <c r="DH13" s="33">
        <f>IF(DH$9="",0,IF(AND(DH11&lt;&gt;0,SUM(DI11:$EJ$11)=0,SUM(DI13:$EJ$13)=0),1,IF(MONTH(DH$9)=INDEX(условия!$T$48:$AC$48,1,SUMIFS(условия!$T$1:$AC$1,условия!$T$8:$AC$8,"&lt;="&amp;DH$9,условия!$T$9:$AC$9,"&gt;="&amp;DH$9)),1,0)))</f>
        <v>0</v>
      </c>
      <c r="DI13" s="33">
        <f>IF(DI$9="",0,IF(AND(DI11&lt;&gt;0,SUM(DJ11:$EJ$11)=0,SUM(DJ13:$EJ$13)=0),1,IF(MONTH(DI$9)=INDEX(условия!$T$48:$AC$48,1,SUMIFS(условия!$T$1:$AC$1,условия!$T$8:$AC$8,"&lt;="&amp;DI$9,условия!$T$9:$AC$9,"&gt;="&amp;DI$9)),1,0)))</f>
        <v>0</v>
      </c>
      <c r="DJ13" s="33">
        <f>IF(DJ$9="",0,IF(AND(DJ11&lt;&gt;0,SUM(DK11:$EJ$11)=0,SUM(DK13:$EJ$13)=0),1,IF(MONTH(DJ$9)=INDEX(условия!$T$48:$AC$48,1,SUMIFS(условия!$T$1:$AC$1,условия!$T$8:$AC$8,"&lt;="&amp;DJ$9,условия!$T$9:$AC$9,"&gt;="&amp;DJ$9)),1,0)))</f>
        <v>0</v>
      </c>
      <c r="DK13" s="33">
        <f>IF(DK$9="",0,IF(AND(DK11&lt;&gt;0,SUM(DL11:$EJ$11)=0,SUM(DL13:$EJ$13)=0),1,IF(MONTH(DK$9)=INDEX(условия!$T$48:$AC$48,1,SUMIFS(условия!$T$1:$AC$1,условия!$T$8:$AC$8,"&lt;="&amp;DK$9,условия!$T$9:$AC$9,"&gt;="&amp;DK$9)),1,0)))</f>
        <v>0</v>
      </c>
      <c r="DL13" s="33">
        <f>IF(DL$9="",0,IF(AND(DL11&lt;&gt;0,SUM(DM11:$EJ$11)=0,SUM(DM13:$EJ$13)=0),1,IF(MONTH(DL$9)=INDEX(условия!$T$48:$AC$48,1,SUMIFS(условия!$T$1:$AC$1,условия!$T$8:$AC$8,"&lt;="&amp;DL$9,условия!$T$9:$AC$9,"&gt;="&amp;DL$9)),1,0)))</f>
        <v>0</v>
      </c>
      <c r="DM13" s="33">
        <f>IF(DM$9="",0,IF(AND(DM11&lt;&gt;0,SUM(DN11:$EJ$11)=0,SUM(DN13:$EJ$13)=0),1,IF(MONTH(DM$9)=INDEX(условия!$T$48:$AC$48,1,SUMIFS(условия!$T$1:$AC$1,условия!$T$8:$AC$8,"&lt;="&amp;DM$9,условия!$T$9:$AC$9,"&gt;="&amp;DM$9)),1,0)))</f>
        <v>0</v>
      </c>
      <c r="DN13" s="33">
        <f>IF(DN$9="",0,IF(AND(DN11&lt;&gt;0,SUM(DO11:$EJ$11)=0,SUM(DO13:$EJ$13)=0),1,IF(MONTH(DN$9)=INDEX(условия!$T$48:$AC$48,1,SUMIFS(условия!$T$1:$AC$1,условия!$T$8:$AC$8,"&lt;="&amp;DN$9,условия!$T$9:$AC$9,"&gt;="&amp;DN$9)),1,0)))</f>
        <v>0</v>
      </c>
      <c r="DO13" s="33">
        <f>IF(DO$9="",0,IF(AND(DO11&lt;&gt;0,SUM(DP11:$EJ$11)=0,SUM(DP13:$EJ$13)=0),1,IF(MONTH(DO$9)=INDEX(условия!$T$48:$AC$48,1,SUMIFS(условия!$T$1:$AC$1,условия!$T$8:$AC$8,"&lt;="&amp;DO$9,условия!$T$9:$AC$9,"&gt;="&amp;DO$9)),1,0)))</f>
        <v>0</v>
      </c>
      <c r="DP13" s="33">
        <f>IF(DP$9="",0,IF(AND(DP11&lt;&gt;0,SUM(DQ11:$EJ$11)=0,SUM(DQ13:$EJ$13)=0),1,IF(MONTH(DP$9)=INDEX(условия!$T$48:$AC$48,1,SUMIFS(условия!$T$1:$AC$1,условия!$T$8:$AC$8,"&lt;="&amp;DP$9,условия!$T$9:$AC$9,"&gt;="&amp;DP$9)),1,0)))</f>
        <v>0</v>
      </c>
      <c r="DQ13" s="33">
        <f>IF(DQ$9="",0,IF(AND(DQ11&lt;&gt;0,SUM(DR11:$EJ$11)=0,SUM(DR13:$EJ$13)=0),1,IF(MONTH(DQ$9)=INDEX(условия!$T$48:$AC$48,1,SUMIFS(условия!$T$1:$AC$1,условия!$T$8:$AC$8,"&lt;="&amp;DQ$9,условия!$T$9:$AC$9,"&gt;="&amp;DQ$9)),1,0)))</f>
        <v>0</v>
      </c>
      <c r="DR13" s="33">
        <f>IF(DR$9="",0,IF(AND(DR11&lt;&gt;0,SUM(DS11:$EJ$11)=0,SUM(DS13:$EJ$13)=0),1,IF(MONTH(DR$9)=INDEX(условия!$T$48:$AC$48,1,SUMIFS(условия!$T$1:$AC$1,условия!$T$8:$AC$8,"&lt;="&amp;DR$9,условия!$T$9:$AC$9,"&gt;="&amp;DR$9)),1,0)))</f>
        <v>0</v>
      </c>
      <c r="DS13" s="33">
        <f>IF(DS$9="",0,IF(AND(DS11&lt;&gt;0,SUM(DT11:$EJ$11)=0,SUM(DT13:$EJ$13)=0),1,IF(MONTH(DS$9)=INDEX(условия!$T$48:$AC$48,1,SUMIFS(условия!$T$1:$AC$1,условия!$T$8:$AC$8,"&lt;="&amp;DS$9,условия!$T$9:$AC$9,"&gt;="&amp;DS$9)),1,0)))</f>
        <v>0</v>
      </c>
      <c r="DT13" s="33">
        <f>IF(DT$9="",0,IF(AND(DT11&lt;&gt;0,SUM(DU11:$EJ$11)=0,SUM(DU13:$EJ$13)=0),1,IF(MONTH(DT$9)=INDEX(условия!$T$48:$AC$48,1,SUMIFS(условия!$T$1:$AC$1,условия!$T$8:$AC$8,"&lt;="&amp;DT$9,условия!$T$9:$AC$9,"&gt;="&amp;DT$9)),1,0)))</f>
        <v>0</v>
      </c>
      <c r="DU13" s="33">
        <f>IF(DU$9="",0,IF(AND(DU11&lt;&gt;0,SUM(DV11:$EJ$11)=0,SUM(DV13:$EJ$13)=0),1,IF(MONTH(DU$9)=INDEX(условия!$T$48:$AC$48,1,SUMIFS(условия!$T$1:$AC$1,условия!$T$8:$AC$8,"&lt;="&amp;DU$9,условия!$T$9:$AC$9,"&gt;="&amp;DU$9)),1,0)))</f>
        <v>0</v>
      </c>
      <c r="DV13" s="33">
        <f>IF(DV$9="",0,IF(AND(DV11&lt;&gt;0,SUM(DW11:$EJ$11)=0,SUM(DW13:$EJ$13)=0),1,IF(MONTH(DV$9)=INDEX(условия!$T$48:$AC$48,1,SUMIFS(условия!$T$1:$AC$1,условия!$T$8:$AC$8,"&lt;="&amp;DV$9,условия!$T$9:$AC$9,"&gt;="&amp;DV$9)),1,0)))</f>
        <v>0</v>
      </c>
      <c r="DW13" s="33">
        <f>IF(DW$9="",0,IF(AND(DW11&lt;&gt;0,SUM(DX11:$EJ$11)=0,SUM(DX13:$EJ$13)=0),1,IF(MONTH(DW$9)=INDEX(условия!$T$48:$AC$48,1,SUMIFS(условия!$T$1:$AC$1,условия!$T$8:$AC$8,"&lt;="&amp;DW$9,условия!$T$9:$AC$9,"&gt;="&amp;DW$9)),1,0)))</f>
        <v>0</v>
      </c>
      <c r="DX13" s="33">
        <f>IF(DX$9="",0,IF(AND(DX11&lt;&gt;0,SUM(DY11:$EJ$11)=0,SUM(DY13:$EJ$13)=0),1,IF(MONTH(DX$9)=INDEX(условия!$T$48:$AC$48,1,SUMIFS(условия!$T$1:$AC$1,условия!$T$8:$AC$8,"&lt;="&amp;DX$9,условия!$T$9:$AC$9,"&gt;="&amp;DX$9)),1,0)))</f>
        <v>0</v>
      </c>
      <c r="DY13" s="33">
        <f>IF(DY$9="",0,IF(AND(DY11&lt;&gt;0,SUM(DZ11:$EJ$11)=0,SUM(DZ13:$EJ$13)=0),1,IF(MONTH(DY$9)=INDEX(условия!$T$48:$AC$48,1,SUMIFS(условия!$T$1:$AC$1,условия!$T$8:$AC$8,"&lt;="&amp;DY$9,условия!$T$9:$AC$9,"&gt;="&amp;DY$9)),1,0)))</f>
        <v>0</v>
      </c>
      <c r="DZ13" s="33">
        <f>IF(DZ$9="",0,IF(AND(DZ11&lt;&gt;0,SUM(EA11:$EJ$11)=0,SUM(EA13:$EJ$13)=0),1,IF(MONTH(DZ$9)=INDEX(условия!$T$48:$AC$48,1,SUMIFS(условия!$T$1:$AC$1,условия!$T$8:$AC$8,"&lt;="&amp;DZ$9,условия!$T$9:$AC$9,"&gt;="&amp;DZ$9)),1,0)))</f>
        <v>0</v>
      </c>
      <c r="EA13" s="33">
        <f>IF(EA$9="",0,IF(AND(EA11&lt;&gt;0,SUM(EB11:$EJ$11)=0,SUM(EB13:$EJ$13)=0),1,IF(MONTH(EA$9)=INDEX(условия!$T$48:$AC$48,1,SUMIFS(условия!$T$1:$AC$1,условия!$T$8:$AC$8,"&lt;="&amp;EA$9,условия!$T$9:$AC$9,"&gt;="&amp;EA$9)),1,0)))</f>
        <v>0</v>
      </c>
      <c r="EB13" s="33">
        <f>IF(EB$9="",0,IF(AND(EB11&lt;&gt;0,SUM(EC11:$EJ$11)=0,SUM(EC13:$EJ$13)=0),1,IF(MONTH(EB$9)=INDEX(условия!$T$48:$AC$48,1,SUMIFS(условия!$T$1:$AC$1,условия!$T$8:$AC$8,"&lt;="&amp;EB$9,условия!$T$9:$AC$9,"&gt;="&amp;EB$9)),1,0)))</f>
        <v>0</v>
      </c>
      <c r="EC13" s="33">
        <f>IF(EC$9="",0,IF(AND(EC11&lt;&gt;0,SUM(ED11:$EJ$11)=0,SUM(ED13:$EJ$13)=0),1,IF(MONTH(EC$9)=INDEX(условия!$T$48:$AC$48,1,SUMIFS(условия!$T$1:$AC$1,условия!$T$8:$AC$8,"&lt;="&amp;EC$9,условия!$T$9:$AC$9,"&gt;="&amp;EC$9)),1,0)))</f>
        <v>0</v>
      </c>
      <c r="ED13" s="33">
        <f>IF(ED$9="",0,IF(AND(ED11&lt;&gt;0,SUM(EE11:$EJ$11)=0,SUM(EE13:$EJ$13)=0),1,IF(MONTH(ED$9)=INDEX(условия!$T$48:$AC$48,1,SUMIFS(условия!$T$1:$AC$1,условия!$T$8:$AC$8,"&lt;="&amp;ED$9,условия!$T$9:$AC$9,"&gt;="&amp;ED$9)),1,0)))</f>
        <v>0</v>
      </c>
      <c r="EE13" s="33">
        <f>IF(EE$9="",0,IF(AND(EE11&lt;&gt;0,SUM(EF11:$EJ$11)=0,SUM(EF13:$EJ$13)=0),1,IF(MONTH(EE$9)=INDEX(условия!$T$48:$AC$48,1,SUMIFS(условия!$T$1:$AC$1,условия!$T$8:$AC$8,"&lt;="&amp;EE$9,условия!$T$9:$AC$9,"&gt;="&amp;EE$9)),1,0)))</f>
        <v>0</v>
      </c>
      <c r="EF13" s="33">
        <f>IF(EF$9="",0,IF(AND(EF11&lt;&gt;0,SUM(EG11:$EJ$11)=0,SUM(EG13:$EJ$13)=0),1,IF(MONTH(EF$9)=INDEX(условия!$T$48:$AC$48,1,SUMIFS(условия!$T$1:$AC$1,условия!$T$8:$AC$8,"&lt;="&amp;EF$9,условия!$T$9:$AC$9,"&gt;="&amp;EF$9)),1,0)))</f>
        <v>0</v>
      </c>
      <c r="EG13" s="33">
        <f>IF(EG$9="",0,IF(AND(EG11&lt;&gt;0,SUM(EH11:$EJ$11)=0,SUM(EH13:$EJ$13)=0),1,IF(MONTH(EG$9)=INDEX(условия!$T$48:$AC$48,1,SUMIFS(условия!$T$1:$AC$1,условия!$T$8:$AC$8,"&lt;="&amp;EG$9,условия!$T$9:$AC$9,"&gt;="&amp;EG$9)),1,0)))</f>
        <v>0</v>
      </c>
      <c r="EH13" s="33">
        <f>IF(EH$9="",0,IF(AND(EH11&lt;&gt;0,SUM(EI11:$EJ$11)=0,SUM(EI13:$EJ$13)=0),1,IF(MONTH(EH$9)=INDEX(условия!$T$48:$AC$48,1,SUMIFS(условия!$T$1:$AC$1,условия!$T$8:$AC$8,"&lt;="&amp;EH$9,условия!$T$9:$AC$9,"&gt;="&amp;EH$9)),1,0)))</f>
        <v>0</v>
      </c>
      <c r="EI13" s="33">
        <f>IF(EI$9="",0,IF(AND(EI11&lt;&gt;0,SUM(EJ11:$EJ$11)=0,SUM(EJ13:$EJ$13)=0),1,IF(MONTH(EI$9)=INDEX(условия!$T$48:$AC$48,1,SUMIFS(условия!$T$1:$AC$1,условия!$T$8:$AC$8,"&lt;="&amp;EI$9,условия!$T$9:$AC$9,"&gt;="&amp;EI$9)),1,0)))</f>
        <v>0</v>
      </c>
      <c r="EJ13" s="3"/>
      <c r="EK13" s="3"/>
    </row>
    <row r="14" spans="1:14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x14ac:dyDescent="0.25">
      <c r="A15" s="3"/>
      <c r="B15" s="3"/>
      <c r="C15" s="3"/>
      <c r="D15" s="3"/>
      <c r="E15" s="3"/>
      <c r="F15" s="10" t="str">
        <f>KPI!$F$18</f>
        <v>ввод в эксплуатацию объектов начальных кап. затрат</v>
      </c>
      <c r="G15" s="3"/>
      <c r="H15" s="3"/>
      <c r="I15" s="3"/>
      <c r="J15" s="5" t="str">
        <f>IF($F15="","",INDEX(KPI!$I$11:$I$275,SUMIFS(KPI!$E$11:$E$275,KPI!$F$11:$F$275,$F15)))</f>
        <v>тыс.руб.</v>
      </c>
      <c r="K15" s="3"/>
      <c r="L15" s="3"/>
      <c r="M15" s="3"/>
      <c r="N15" s="3"/>
      <c r="O15" s="3"/>
      <c r="P15" s="3"/>
      <c r="Q15" s="12">
        <f>SUM(S15:EJ15)</f>
        <v>70000</v>
      </c>
      <c r="R15" s="3"/>
      <c r="S15" s="3"/>
      <c r="T15" s="33">
        <f>IF(T13=0,0,SUM($S$11:T11)-SUM($S$15:S15))</f>
        <v>0</v>
      </c>
      <c r="U15" s="33">
        <f>IF(U13=0,0,SUM($S$11:U11)-SUM($S$15:T15))</f>
        <v>0</v>
      </c>
      <c r="V15" s="33">
        <f>IF(V13=0,0,SUM($S$11:V11)-SUM($S$15:U15))</f>
        <v>35000</v>
      </c>
      <c r="W15" s="33">
        <f>IF(W13=0,0,SUM($S$11:W11)-SUM($S$15:V15))</f>
        <v>0</v>
      </c>
      <c r="X15" s="33">
        <f>IF(X13=0,0,SUM($S$11:X11)-SUM($S$15:W15))</f>
        <v>35000</v>
      </c>
      <c r="Y15" s="33">
        <f>IF(Y13=0,0,SUM($S$11:Y11)-SUM($S$15:X15))</f>
        <v>0</v>
      </c>
      <c r="Z15" s="33">
        <f>IF(Z13=0,0,SUM($S$11:Z11)-SUM($S$15:Y15))</f>
        <v>0</v>
      </c>
      <c r="AA15" s="33">
        <f>IF(AA13=0,0,SUM($S$11:AA11)-SUM($S$15:Z15))</f>
        <v>0</v>
      </c>
      <c r="AB15" s="33">
        <f>IF(AB13=0,0,SUM($S$11:AB11)-SUM($S$15:AA15))</f>
        <v>0</v>
      </c>
      <c r="AC15" s="33">
        <f>IF(AC13=0,0,SUM($S$11:AC11)-SUM($S$15:AB15))</f>
        <v>0</v>
      </c>
      <c r="AD15" s="33">
        <f>IF(AD13=0,0,SUM($S$11:AD11)-SUM($S$15:AC15))</f>
        <v>0</v>
      </c>
      <c r="AE15" s="33">
        <f>IF(AE13=0,0,SUM($S$11:AE11)-SUM($S$15:AD15))</f>
        <v>0</v>
      </c>
      <c r="AF15" s="33">
        <f>IF(AF13=0,0,SUM($S$11:AF11)-SUM($S$15:AE15))</f>
        <v>0</v>
      </c>
      <c r="AG15" s="33">
        <f>IF(AG13=0,0,SUM($S$11:AG11)-SUM($S$15:AF15))</f>
        <v>0</v>
      </c>
      <c r="AH15" s="33">
        <f>IF(AH13=0,0,SUM($S$11:AH11)-SUM($S$15:AG15))</f>
        <v>0</v>
      </c>
      <c r="AI15" s="33">
        <f>IF(AI13=0,0,SUM($S$11:AI11)-SUM($S$15:AH15))</f>
        <v>0</v>
      </c>
      <c r="AJ15" s="33">
        <f>IF(AJ13=0,0,SUM($S$11:AJ11)-SUM($S$15:AI15))</f>
        <v>0</v>
      </c>
      <c r="AK15" s="33">
        <f>IF(AK13=0,0,SUM($S$11:AK11)-SUM($S$15:AJ15))</f>
        <v>0</v>
      </c>
      <c r="AL15" s="33">
        <f>IF(AL13=0,0,SUM($S$11:AL11)-SUM($S$15:AK15))</f>
        <v>0</v>
      </c>
      <c r="AM15" s="33">
        <f>IF(AM13=0,0,SUM($S$11:AM11)-SUM($S$15:AL15))</f>
        <v>0</v>
      </c>
      <c r="AN15" s="33">
        <f>IF(AN13=0,0,SUM($S$11:AN11)-SUM($S$15:AM15))</f>
        <v>0</v>
      </c>
      <c r="AO15" s="33">
        <f>IF(AO13=0,0,SUM($S$11:AO11)-SUM($S$15:AN15))</f>
        <v>0</v>
      </c>
      <c r="AP15" s="33">
        <f>IF(AP13=0,0,SUM($S$11:AP11)-SUM($S$15:AO15))</f>
        <v>0</v>
      </c>
      <c r="AQ15" s="33">
        <f>IF(AQ13=0,0,SUM($S$11:AQ11)-SUM($S$15:AP15))</f>
        <v>0</v>
      </c>
      <c r="AR15" s="33">
        <f>IF(AR13=0,0,SUM($S$11:AR11)-SUM($S$15:AQ15))</f>
        <v>0</v>
      </c>
      <c r="AS15" s="33">
        <f>IF(AS13=0,0,SUM($S$11:AS11)-SUM($S$15:AR15))</f>
        <v>0</v>
      </c>
      <c r="AT15" s="33">
        <f>IF(AT13=0,0,SUM($S$11:AT11)-SUM($S$15:AS15))</f>
        <v>0</v>
      </c>
      <c r="AU15" s="33">
        <f>IF(AU13=0,0,SUM($S$11:AU11)-SUM($S$15:AT15))</f>
        <v>0</v>
      </c>
      <c r="AV15" s="33">
        <f>IF(AV13=0,0,SUM($S$11:AV11)-SUM($S$15:AU15))</f>
        <v>0</v>
      </c>
      <c r="AW15" s="33">
        <f>IF(AW13=0,0,SUM($S$11:AW11)-SUM($S$15:AV15))</f>
        <v>0</v>
      </c>
      <c r="AX15" s="33">
        <f>IF(AX13=0,0,SUM($S$11:AX11)-SUM($S$15:AW15))</f>
        <v>0</v>
      </c>
      <c r="AY15" s="33">
        <f>IF(AY13=0,0,SUM($S$11:AY11)-SUM($S$15:AX15))</f>
        <v>0</v>
      </c>
      <c r="AZ15" s="33">
        <f>IF(AZ13=0,0,SUM($S$11:AZ11)-SUM($S$15:AY15))</f>
        <v>0</v>
      </c>
      <c r="BA15" s="33">
        <f>IF(BA13=0,0,SUM($S$11:BA11)-SUM($S$15:AZ15))</f>
        <v>0</v>
      </c>
      <c r="BB15" s="33">
        <f>IF(BB13=0,0,SUM($S$11:BB11)-SUM($S$15:BA15))</f>
        <v>0</v>
      </c>
      <c r="BC15" s="33">
        <f>IF(BC13=0,0,SUM($S$11:BC11)-SUM($S$15:BB15))</f>
        <v>0</v>
      </c>
      <c r="BD15" s="33">
        <f>IF(BD13=0,0,SUM($S$11:BD11)-SUM($S$15:BC15))</f>
        <v>0</v>
      </c>
      <c r="BE15" s="33">
        <f>IF(BE13=0,0,SUM($S$11:BE11)-SUM($S$15:BD15))</f>
        <v>0</v>
      </c>
      <c r="BF15" s="33">
        <f>IF(BF13=0,0,SUM($S$11:BF11)-SUM($S$15:BE15))</f>
        <v>0</v>
      </c>
      <c r="BG15" s="33">
        <f>IF(BG13=0,0,SUM($S$11:BG11)-SUM($S$15:BF15))</f>
        <v>0</v>
      </c>
      <c r="BH15" s="33">
        <f>IF(BH13=0,0,SUM($S$11:BH11)-SUM($S$15:BG15))</f>
        <v>0</v>
      </c>
      <c r="BI15" s="33">
        <f>IF(BI13=0,0,SUM($S$11:BI11)-SUM($S$15:BH15))</f>
        <v>0</v>
      </c>
      <c r="BJ15" s="33">
        <f>IF(BJ13=0,0,SUM($S$11:BJ11)-SUM($S$15:BI15))</f>
        <v>0</v>
      </c>
      <c r="BK15" s="33">
        <f>IF(BK13=0,0,SUM($S$11:BK11)-SUM($S$15:BJ15))</f>
        <v>0</v>
      </c>
      <c r="BL15" s="33">
        <f>IF(BL13=0,0,SUM($S$11:BL11)-SUM($S$15:BK15))</f>
        <v>0</v>
      </c>
      <c r="BM15" s="33">
        <f>IF(BM13=0,0,SUM($S$11:BM11)-SUM($S$15:BL15))</f>
        <v>0</v>
      </c>
      <c r="BN15" s="33">
        <f>IF(BN13=0,0,SUM($S$11:BN11)-SUM($S$15:BM15))</f>
        <v>0</v>
      </c>
      <c r="BO15" s="33">
        <f>IF(BO13=0,0,SUM($S$11:BO11)-SUM($S$15:BN15))</f>
        <v>0</v>
      </c>
      <c r="BP15" s="33">
        <f>IF(BP13=0,0,SUM($S$11:BP11)-SUM($S$15:BO15))</f>
        <v>0</v>
      </c>
      <c r="BQ15" s="33">
        <f>IF(BQ13=0,0,SUM($S$11:BQ11)-SUM($S$15:BP15))</f>
        <v>0</v>
      </c>
      <c r="BR15" s="33">
        <f>IF(BR13=0,0,SUM($S$11:BR11)-SUM($S$15:BQ15))</f>
        <v>0</v>
      </c>
      <c r="BS15" s="33">
        <f>IF(BS13=0,0,SUM($S$11:BS11)-SUM($S$15:BR15))</f>
        <v>0</v>
      </c>
      <c r="BT15" s="33">
        <f>IF(BT13=0,0,SUM($S$11:BT11)-SUM($S$15:BS15))</f>
        <v>0</v>
      </c>
      <c r="BU15" s="33">
        <f>IF(BU13=0,0,SUM($S$11:BU11)-SUM($S$15:BT15))</f>
        <v>0</v>
      </c>
      <c r="BV15" s="33">
        <f>IF(BV13=0,0,SUM($S$11:BV11)-SUM($S$15:BU15))</f>
        <v>0</v>
      </c>
      <c r="BW15" s="33">
        <f>IF(BW13=0,0,SUM($S$11:BW11)-SUM($S$15:BV15))</f>
        <v>0</v>
      </c>
      <c r="BX15" s="33">
        <f>IF(BX13=0,0,SUM($S$11:BX11)-SUM($S$15:BW15))</f>
        <v>0</v>
      </c>
      <c r="BY15" s="33">
        <f>IF(BY13=0,0,SUM($S$11:BY11)-SUM($S$15:BX15))</f>
        <v>0</v>
      </c>
      <c r="BZ15" s="33">
        <f>IF(BZ13=0,0,SUM($S$11:BZ11)-SUM($S$15:BY15))</f>
        <v>0</v>
      </c>
      <c r="CA15" s="33">
        <f>IF(CA13=0,0,SUM($S$11:CA11)-SUM($S$15:BZ15))</f>
        <v>0</v>
      </c>
      <c r="CB15" s="33">
        <f>IF(CB13=0,0,SUM($S$11:CB11)-SUM($S$15:CA15))</f>
        <v>0</v>
      </c>
      <c r="CC15" s="33">
        <f>IF(CC13=0,0,SUM($S$11:CC11)-SUM($S$15:CB15))</f>
        <v>0</v>
      </c>
      <c r="CD15" s="33">
        <f>IF(CD13=0,0,SUM($S$11:CD11)-SUM($S$15:CC15))</f>
        <v>0</v>
      </c>
      <c r="CE15" s="33">
        <f>IF(CE13=0,0,SUM($S$11:CE11)-SUM($S$15:CD15))</f>
        <v>0</v>
      </c>
      <c r="CF15" s="33">
        <f>IF(CF13=0,0,SUM($S$11:CF11)-SUM($S$15:CE15))</f>
        <v>0</v>
      </c>
      <c r="CG15" s="33">
        <f>IF(CG13=0,0,SUM($S$11:CG11)-SUM($S$15:CF15))</f>
        <v>0</v>
      </c>
      <c r="CH15" s="33">
        <f>IF(CH13=0,0,SUM($S$11:CH11)-SUM($S$15:CG15))</f>
        <v>0</v>
      </c>
      <c r="CI15" s="33">
        <f>IF(CI13=0,0,SUM($S$11:CI11)-SUM($S$15:CH15))</f>
        <v>0</v>
      </c>
      <c r="CJ15" s="33">
        <f>IF(CJ13=0,0,SUM($S$11:CJ11)-SUM($S$15:CI15))</f>
        <v>0</v>
      </c>
      <c r="CK15" s="33">
        <f>IF(CK13=0,0,SUM($S$11:CK11)-SUM($S$15:CJ15))</f>
        <v>0</v>
      </c>
      <c r="CL15" s="33">
        <f>IF(CL13=0,0,SUM($S$11:CL11)-SUM($S$15:CK15))</f>
        <v>0</v>
      </c>
      <c r="CM15" s="33">
        <f>IF(CM13=0,0,SUM($S$11:CM11)-SUM($S$15:CL15))</f>
        <v>0</v>
      </c>
      <c r="CN15" s="33">
        <f>IF(CN13=0,0,SUM($S$11:CN11)-SUM($S$15:CM15))</f>
        <v>0</v>
      </c>
      <c r="CO15" s="33">
        <f>IF(CO13=0,0,SUM($S$11:CO11)-SUM($S$15:CN15))</f>
        <v>0</v>
      </c>
      <c r="CP15" s="33">
        <f>IF(CP13=0,0,SUM($S$11:CP11)-SUM($S$15:CO15))</f>
        <v>0</v>
      </c>
      <c r="CQ15" s="33">
        <f>IF(CQ13=0,0,SUM($S$11:CQ11)-SUM($S$15:CP15))</f>
        <v>0</v>
      </c>
      <c r="CR15" s="33">
        <f>IF(CR13=0,0,SUM($S$11:CR11)-SUM($S$15:CQ15))</f>
        <v>0</v>
      </c>
      <c r="CS15" s="33">
        <f>IF(CS13=0,0,SUM($S$11:CS11)-SUM($S$15:CR15))</f>
        <v>0</v>
      </c>
      <c r="CT15" s="33">
        <f>IF(CT13=0,0,SUM($S$11:CT11)-SUM($S$15:CS15))</f>
        <v>0</v>
      </c>
      <c r="CU15" s="33">
        <f>IF(CU13=0,0,SUM($S$11:CU11)-SUM($S$15:CT15))</f>
        <v>0</v>
      </c>
      <c r="CV15" s="33">
        <f>IF(CV13=0,0,SUM($S$11:CV11)-SUM($S$15:CU15))</f>
        <v>0</v>
      </c>
      <c r="CW15" s="33">
        <f>IF(CW13=0,0,SUM($S$11:CW11)-SUM($S$15:CV15))</f>
        <v>0</v>
      </c>
      <c r="CX15" s="33">
        <f>IF(CX13=0,0,SUM($S$11:CX11)-SUM($S$15:CW15))</f>
        <v>0</v>
      </c>
      <c r="CY15" s="33">
        <f>IF(CY13=0,0,SUM($S$11:CY11)-SUM($S$15:CX15))</f>
        <v>0</v>
      </c>
      <c r="CZ15" s="33">
        <f>IF(CZ13=0,0,SUM($S$11:CZ11)-SUM($S$15:CY15))</f>
        <v>0</v>
      </c>
      <c r="DA15" s="33">
        <f>IF(DA13=0,0,SUM($S$11:DA11)-SUM($S$15:CZ15))</f>
        <v>0</v>
      </c>
      <c r="DB15" s="33">
        <f>IF(DB13=0,0,SUM($S$11:DB11)-SUM($S$15:DA15))</f>
        <v>0</v>
      </c>
      <c r="DC15" s="33">
        <f>IF(DC13=0,0,SUM($S$11:DC11)-SUM($S$15:DB15))</f>
        <v>0</v>
      </c>
      <c r="DD15" s="33">
        <f>IF(DD13=0,0,SUM($S$11:DD11)-SUM($S$15:DC15))</f>
        <v>0</v>
      </c>
      <c r="DE15" s="33">
        <f>IF(DE13=0,0,SUM($S$11:DE11)-SUM($S$15:DD15))</f>
        <v>0</v>
      </c>
      <c r="DF15" s="33">
        <f>IF(DF13=0,0,SUM($S$11:DF11)-SUM($S$15:DE15))</f>
        <v>0</v>
      </c>
      <c r="DG15" s="33">
        <f>IF(DG13=0,0,SUM($S$11:DG11)-SUM($S$15:DF15))</f>
        <v>0</v>
      </c>
      <c r="DH15" s="33">
        <f>IF(DH13=0,0,SUM($S$11:DH11)-SUM($S$15:DG15))</f>
        <v>0</v>
      </c>
      <c r="DI15" s="33">
        <f>IF(DI13=0,0,SUM($S$11:DI11)-SUM($S$15:DH15))</f>
        <v>0</v>
      </c>
      <c r="DJ15" s="33">
        <f>IF(DJ13=0,0,SUM($S$11:DJ11)-SUM($S$15:DI15))</f>
        <v>0</v>
      </c>
      <c r="DK15" s="33">
        <f>IF(DK13=0,0,SUM($S$11:DK11)-SUM($S$15:DJ15))</f>
        <v>0</v>
      </c>
      <c r="DL15" s="33">
        <f>IF(DL13=0,0,SUM($S$11:DL11)-SUM($S$15:DK15))</f>
        <v>0</v>
      </c>
      <c r="DM15" s="33">
        <f>IF(DM13=0,0,SUM($S$11:DM11)-SUM($S$15:DL15))</f>
        <v>0</v>
      </c>
      <c r="DN15" s="33">
        <f>IF(DN13=0,0,SUM($S$11:DN11)-SUM($S$15:DM15))</f>
        <v>0</v>
      </c>
      <c r="DO15" s="33">
        <f>IF(DO13=0,0,SUM($S$11:DO11)-SUM($S$15:DN15))</f>
        <v>0</v>
      </c>
      <c r="DP15" s="33">
        <f>IF(DP13=0,0,SUM($S$11:DP11)-SUM($S$15:DO15))</f>
        <v>0</v>
      </c>
      <c r="DQ15" s="33">
        <f>IF(DQ13=0,0,SUM($S$11:DQ11)-SUM($S$15:DP15))</f>
        <v>0</v>
      </c>
      <c r="DR15" s="33">
        <f>IF(DR13=0,0,SUM($S$11:DR11)-SUM($S$15:DQ15))</f>
        <v>0</v>
      </c>
      <c r="DS15" s="33">
        <f>IF(DS13=0,0,SUM($S$11:DS11)-SUM($S$15:DR15))</f>
        <v>0</v>
      </c>
      <c r="DT15" s="33">
        <f>IF(DT13=0,0,SUM($S$11:DT11)-SUM($S$15:DS15))</f>
        <v>0</v>
      </c>
      <c r="DU15" s="33">
        <f>IF(DU13=0,0,SUM($S$11:DU11)-SUM($S$15:DT15))</f>
        <v>0</v>
      </c>
      <c r="DV15" s="33">
        <f>IF(DV13=0,0,SUM($S$11:DV11)-SUM($S$15:DU15))</f>
        <v>0</v>
      </c>
      <c r="DW15" s="33">
        <f>IF(DW13=0,0,SUM($S$11:DW11)-SUM($S$15:DV15))</f>
        <v>0</v>
      </c>
      <c r="DX15" s="33">
        <f>IF(DX13=0,0,SUM($S$11:DX11)-SUM($S$15:DW15))</f>
        <v>0</v>
      </c>
      <c r="DY15" s="33">
        <f>IF(DY13=0,0,SUM($S$11:DY11)-SUM($S$15:DX15))</f>
        <v>0</v>
      </c>
      <c r="DZ15" s="33">
        <f>IF(DZ13=0,0,SUM($S$11:DZ11)-SUM($S$15:DY15))</f>
        <v>0</v>
      </c>
      <c r="EA15" s="33">
        <f>IF(EA13=0,0,SUM($S$11:EA11)-SUM($S$15:DZ15))</f>
        <v>0</v>
      </c>
      <c r="EB15" s="33">
        <f>IF(EB13=0,0,SUM($S$11:EB11)-SUM($S$15:EA15))</f>
        <v>0</v>
      </c>
      <c r="EC15" s="33">
        <f>IF(EC13=0,0,SUM($S$11:EC11)-SUM($S$15:EB15))</f>
        <v>0</v>
      </c>
      <c r="ED15" s="33">
        <f>IF(ED13=0,0,SUM($S$11:ED11)-SUM($S$15:EC15))</f>
        <v>0</v>
      </c>
      <c r="EE15" s="33">
        <f>IF(EE13=0,0,SUM($S$11:EE11)-SUM($S$15:ED15))</f>
        <v>0</v>
      </c>
      <c r="EF15" s="33">
        <f>IF(EF13=0,0,SUM($S$11:EF11)-SUM($S$15:EE15))</f>
        <v>0</v>
      </c>
      <c r="EG15" s="33">
        <f>IF(EG13=0,0,SUM($S$11:EG11)-SUM($S$15:EF15))</f>
        <v>0</v>
      </c>
      <c r="EH15" s="33">
        <f>IF(EH13=0,0,SUM($S$11:EH11)-SUM($S$15:EG15))</f>
        <v>0</v>
      </c>
      <c r="EI15" s="33">
        <f>IF(EI13=0,0,SUM($S$11:EI11)-SUM($S$15:EH15))</f>
        <v>0</v>
      </c>
      <c r="EJ15" s="3"/>
      <c r="EK15" s="3"/>
    </row>
    <row r="16" spans="1:141" s="44" customFormat="1" ht="10.199999999999999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2"/>
      <c r="S16" s="42"/>
      <c r="T16" s="42">
        <v>120</v>
      </c>
      <c r="U16" s="42">
        <f>T16-1</f>
        <v>119</v>
      </c>
      <c r="V16" s="42">
        <f t="shared" ref="V16:CG16" si="11">U16-1</f>
        <v>118</v>
      </c>
      <c r="W16" s="42">
        <f t="shared" si="11"/>
        <v>117</v>
      </c>
      <c r="X16" s="42">
        <f t="shared" si="11"/>
        <v>116</v>
      </c>
      <c r="Y16" s="42">
        <f t="shared" si="11"/>
        <v>115</v>
      </c>
      <c r="Z16" s="42">
        <f t="shared" si="11"/>
        <v>114</v>
      </c>
      <c r="AA16" s="42">
        <f t="shared" si="11"/>
        <v>113</v>
      </c>
      <c r="AB16" s="42">
        <f t="shared" si="11"/>
        <v>112</v>
      </c>
      <c r="AC16" s="42">
        <f t="shared" si="11"/>
        <v>111</v>
      </c>
      <c r="AD16" s="42">
        <f t="shared" si="11"/>
        <v>110</v>
      </c>
      <c r="AE16" s="42">
        <f t="shared" si="11"/>
        <v>109</v>
      </c>
      <c r="AF16" s="42">
        <f t="shared" si="11"/>
        <v>108</v>
      </c>
      <c r="AG16" s="42">
        <f t="shared" si="11"/>
        <v>107</v>
      </c>
      <c r="AH16" s="42">
        <f t="shared" si="11"/>
        <v>106</v>
      </c>
      <c r="AI16" s="42">
        <f t="shared" si="11"/>
        <v>105</v>
      </c>
      <c r="AJ16" s="42">
        <f t="shared" si="11"/>
        <v>104</v>
      </c>
      <c r="AK16" s="42">
        <f t="shared" si="11"/>
        <v>103</v>
      </c>
      <c r="AL16" s="42">
        <f t="shared" si="11"/>
        <v>102</v>
      </c>
      <c r="AM16" s="42">
        <f t="shared" si="11"/>
        <v>101</v>
      </c>
      <c r="AN16" s="42">
        <f t="shared" si="11"/>
        <v>100</v>
      </c>
      <c r="AO16" s="42">
        <f t="shared" si="11"/>
        <v>99</v>
      </c>
      <c r="AP16" s="42">
        <f t="shared" si="11"/>
        <v>98</v>
      </c>
      <c r="AQ16" s="42">
        <f t="shared" si="11"/>
        <v>97</v>
      </c>
      <c r="AR16" s="42">
        <f t="shared" si="11"/>
        <v>96</v>
      </c>
      <c r="AS16" s="42">
        <f t="shared" si="11"/>
        <v>95</v>
      </c>
      <c r="AT16" s="42">
        <f t="shared" si="11"/>
        <v>94</v>
      </c>
      <c r="AU16" s="42">
        <f t="shared" si="11"/>
        <v>93</v>
      </c>
      <c r="AV16" s="42">
        <f t="shared" si="11"/>
        <v>92</v>
      </c>
      <c r="AW16" s="42">
        <f t="shared" si="11"/>
        <v>91</v>
      </c>
      <c r="AX16" s="42">
        <f t="shared" si="11"/>
        <v>90</v>
      </c>
      <c r="AY16" s="42">
        <f t="shared" si="11"/>
        <v>89</v>
      </c>
      <c r="AZ16" s="42">
        <f t="shared" si="11"/>
        <v>88</v>
      </c>
      <c r="BA16" s="42">
        <f t="shared" si="11"/>
        <v>87</v>
      </c>
      <c r="BB16" s="42">
        <f t="shared" si="11"/>
        <v>86</v>
      </c>
      <c r="BC16" s="42">
        <f t="shared" si="11"/>
        <v>85</v>
      </c>
      <c r="BD16" s="42">
        <f t="shared" si="11"/>
        <v>84</v>
      </c>
      <c r="BE16" s="42">
        <f t="shared" si="11"/>
        <v>83</v>
      </c>
      <c r="BF16" s="42">
        <f t="shared" si="11"/>
        <v>82</v>
      </c>
      <c r="BG16" s="42">
        <f t="shared" si="11"/>
        <v>81</v>
      </c>
      <c r="BH16" s="42">
        <f t="shared" si="11"/>
        <v>80</v>
      </c>
      <c r="BI16" s="42">
        <f t="shared" si="11"/>
        <v>79</v>
      </c>
      <c r="BJ16" s="42">
        <f t="shared" si="11"/>
        <v>78</v>
      </c>
      <c r="BK16" s="42">
        <f t="shared" si="11"/>
        <v>77</v>
      </c>
      <c r="BL16" s="42">
        <f t="shared" si="11"/>
        <v>76</v>
      </c>
      <c r="BM16" s="42">
        <f t="shared" si="11"/>
        <v>75</v>
      </c>
      <c r="BN16" s="42">
        <f t="shared" si="11"/>
        <v>74</v>
      </c>
      <c r="BO16" s="42">
        <f t="shared" si="11"/>
        <v>73</v>
      </c>
      <c r="BP16" s="42">
        <f t="shared" si="11"/>
        <v>72</v>
      </c>
      <c r="BQ16" s="42">
        <f t="shared" si="11"/>
        <v>71</v>
      </c>
      <c r="BR16" s="42">
        <f t="shared" si="11"/>
        <v>70</v>
      </c>
      <c r="BS16" s="42">
        <f t="shared" si="11"/>
        <v>69</v>
      </c>
      <c r="BT16" s="42">
        <f t="shared" si="11"/>
        <v>68</v>
      </c>
      <c r="BU16" s="42">
        <f t="shared" si="11"/>
        <v>67</v>
      </c>
      <c r="BV16" s="42">
        <f t="shared" si="11"/>
        <v>66</v>
      </c>
      <c r="BW16" s="42">
        <f t="shared" si="11"/>
        <v>65</v>
      </c>
      <c r="BX16" s="42">
        <f t="shared" si="11"/>
        <v>64</v>
      </c>
      <c r="BY16" s="42">
        <f t="shared" si="11"/>
        <v>63</v>
      </c>
      <c r="BZ16" s="42">
        <f t="shared" si="11"/>
        <v>62</v>
      </c>
      <c r="CA16" s="42">
        <f t="shared" si="11"/>
        <v>61</v>
      </c>
      <c r="CB16" s="42">
        <f t="shared" si="11"/>
        <v>60</v>
      </c>
      <c r="CC16" s="42">
        <f t="shared" si="11"/>
        <v>59</v>
      </c>
      <c r="CD16" s="42">
        <f t="shared" si="11"/>
        <v>58</v>
      </c>
      <c r="CE16" s="42">
        <f t="shared" si="11"/>
        <v>57</v>
      </c>
      <c r="CF16" s="42">
        <f t="shared" si="11"/>
        <v>56</v>
      </c>
      <c r="CG16" s="42">
        <f t="shared" si="11"/>
        <v>55</v>
      </c>
      <c r="CH16" s="42">
        <f t="shared" ref="CH16:EI16" si="12">CG16-1</f>
        <v>54</v>
      </c>
      <c r="CI16" s="42">
        <f t="shared" si="12"/>
        <v>53</v>
      </c>
      <c r="CJ16" s="42">
        <f t="shared" si="12"/>
        <v>52</v>
      </c>
      <c r="CK16" s="42">
        <f t="shared" si="12"/>
        <v>51</v>
      </c>
      <c r="CL16" s="42">
        <f t="shared" si="12"/>
        <v>50</v>
      </c>
      <c r="CM16" s="42">
        <f t="shared" si="12"/>
        <v>49</v>
      </c>
      <c r="CN16" s="42">
        <f t="shared" si="12"/>
        <v>48</v>
      </c>
      <c r="CO16" s="42">
        <f t="shared" si="12"/>
        <v>47</v>
      </c>
      <c r="CP16" s="42">
        <f t="shared" si="12"/>
        <v>46</v>
      </c>
      <c r="CQ16" s="42">
        <f t="shared" si="12"/>
        <v>45</v>
      </c>
      <c r="CR16" s="42">
        <f t="shared" si="12"/>
        <v>44</v>
      </c>
      <c r="CS16" s="42">
        <f t="shared" si="12"/>
        <v>43</v>
      </c>
      <c r="CT16" s="42">
        <f t="shared" si="12"/>
        <v>42</v>
      </c>
      <c r="CU16" s="42">
        <f t="shared" si="12"/>
        <v>41</v>
      </c>
      <c r="CV16" s="42">
        <f t="shared" si="12"/>
        <v>40</v>
      </c>
      <c r="CW16" s="42">
        <f t="shared" si="12"/>
        <v>39</v>
      </c>
      <c r="CX16" s="42">
        <f t="shared" si="12"/>
        <v>38</v>
      </c>
      <c r="CY16" s="42">
        <f t="shared" si="12"/>
        <v>37</v>
      </c>
      <c r="CZ16" s="42">
        <f t="shared" si="12"/>
        <v>36</v>
      </c>
      <c r="DA16" s="42">
        <f t="shared" si="12"/>
        <v>35</v>
      </c>
      <c r="DB16" s="42">
        <f t="shared" si="12"/>
        <v>34</v>
      </c>
      <c r="DC16" s="42">
        <f t="shared" si="12"/>
        <v>33</v>
      </c>
      <c r="DD16" s="42">
        <f t="shared" si="12"/>
        <v>32</v>
      </c>
      <c r="DE16" s="42">
        <f t="shared" si="12"/>
        <v>31</v>
      </c>
      <c r="DF16" s="42">
        <f t="shared" si="12"/>
        <v>30</v>
      </c>
      <c r="DG16" s="42">
        <f t="shared" si="12"/>
        <v>29</v>
      </c>
      <c r="DH16" s="42">
        <f t="shared" si="12"/>
        <v>28</v>
      </c>
      <c r="DI16" s="42">
        <f t="shared" si="12"/>
        <v>27</v>
      </c>
      <c r="DJ16" s="42">
        <f t="shared" si="12"/>
        <v>26</v>
      </c>
      <c r="DK16" s="42">
        <f t="shared" si="12"/>
        <v>25</v>
      </c>
      <c r="DL16" s="42">
        <f t="shared" si="12"/>
        <v>24</v>
      </c>
      <c r="DM16" s="42">
        <f t="shared" si="12"/>
        <v>23</v>
      </c>
      <c r="DN16" s="42">
        <f t="shared" si="12"/>
        <v>22</v>
      </c>
      <c r="DO16" s="42">
        <f t="shared" si="12"/>
        <v>21</v>
      </c>
      <c r="DP16" s="42">
        <f t="shared" si="12"/>
        <v>20</v>
      </c>
      <c r="DQ16" s="42">
        <f t="shared" si="12"/>
        <v>19</v>
      </c>
      <c r="DR16" s="42">
        <f t="shared" si="12"/>
        <v>18</v>
      </c>
      <c r="DS16" s="42">
        <f t="shared" si="12"/>
        <v>17</v>
      </c>
      <c r="DT16" s="42">
        <f t="shared" si="12"/>
        <v>16</v>
      </c>
      <c r="DU16" s="42">
        <f t="shared" si="12"/>
        <v>15</v>
      </c>
      <c r="DV16" s="42">
        <f t="shared" si="12"/>
        <v>14</v>
      </c>
      <c r="DW16" s="42">
        <f t="shared" si="12"/>
        <v>13</v>
      </c>
      <c r="DX16" s="42">
        <f t="shared" si="12"/>
        <v>12</v>
      </c>
      <c r="DY16" s="42">
        <f t="shared" si="12"/>
        <v>11</v>
      </c>
      <c r="DZ16" s="42">
        <f t="shared" si="12"/>
        <v>10</v>
      </c>
      <c r="EA16" s="42">
        <f t="shared" si="12"/>
        <v>9</v>
      </c>
      <c r="EB16" s="42">
        <f t="shared" si="12"/>
        <v>8</v>
      </c>
      <c r="EC16" s="42">
        <f t="shared" si="12"/>
        <v>7</v>
      </c>
      <c r="ED16" s="42">
        <f t="shared" si="12"/>
        <v>6</v>
      </c>
      <c r="EE16" s="42">
        <f t="shared" si="12"/>
        <v>5</v>
      </c>
      <c r="EF16" s="42">
        <f t="shared" si="12"/>
        <v>4</v>
      </c>
      <c r="EG16" s="42">
        <f t="shared" si="12"/>
        <v>3</v>
      </c>
      <c r="EH16" s="42">
        <f t="shared" si="12"/>
        <v>2</v>
      </c>
      <c r="EI16" s="42">
        <f t="shared" si="12"/>
        <v>1</v>
      </c>
      <c r="EJ16" s="42"/>
      <c r="EK16" s="42"/>
    </row>
    <row r="17" spans="1:141" x14ac:dyDescent="0.25">
      <c r="A17" s="3"/>
      <c r="B17" s="3"/>
      <c r="C17" s="3"/>
      <c r="D17" s="3"/>
      <c r="E17" s="3"/>
      <c r="F17" s="10" t="str">
        <f>KPI!$F$20</f>
        <v>обратное распределение амортизации</v>
      </c>
      <c r="G17" s="3"/>
      <c r="H17" s="3"/>
      <c r="I17" s="3"/>
      <c r="J17" s="5" t="str">
        <f>IF($F17="","",INDEX(KPI!$I$11:$I$275,SUMIFS(KPI!$E$11:$E$275,KPI!$F$11:$F$275,$F17)))</f>
        <v>%</v>
      </c>
      <c r="K17" s="3"/>
      <c r="L17" s="3"/>
      <c r="M17" s="3"/>
      <c r="N17" s="3"/>
      <c r="O17" s="3"/>
      <c r="P17" s="3"/>
      <c r="Q17" s="45">
        <f>SUM(S17:EJ17)</f>
        <v>0.99999999999999889</v>
      </c>
      <c r="R17" s="3"/>
      <c r="S17" s="3"/>
      <c r="T17" s="41">
        <f>IF(T16&gt;условия!$Q$50*12,0,IF(условия!$Q$50=0,0,1/(условия!$Q$50*12)))</f>
        <v>8.3333333333333332E-3</v>
      </c>
      <c r="U17" s="41">
        <f>IF(U16&gt;условия!$Q$50*12,0,IF(условия!$Q$50=0,0,1/(условия!$Q$50*12)))</f>
        <v>8.3333333333333332E-3</v>
      </c>
      <c r="V17" s="41">
        <f>IF(V16&gt;условия!$Q$50*12,0,IF(условия!$Q$50=0,0,1/(условия!$Q$50*12)))</f>
        <v>8.3333333333333332E-3</v>
      </c>
      <c r="W17" s="41">
        <f>IF(W16&gt;условия!$Q$50*12,0,IF(условия!$Q$50=0,0,1/(условия!$Q$50*12)))</f>
        <v>8.3333333333333332E-3</v>
      </c>
      <c r="X17" s="41">
        <f>IF(X16&gt;условия!$Q$50*12,0,IF(условия!$Q$50=0,0,1/(условия!$Q$50*12)))</f>
        <v>8.3333333333333332E-3</v>
      </c>
      <c r="Y17" s="41">
        <f>IF(Y16&gt;условия!$Q$50*12,0,IF(условия!$Q$50=0,0,1/(условия!$Q$50*12)))</f>
        <v>8.3333333333333332E-3</v>
      </c>
      <c r="Z17" s="41">
        <f>IF(Z16&gt;условия!$Q$50*12,0,IF(условия!$Q$50=0,0,1/(условия!$Q$50*12)))</f>
        <v>8.3333333333333332E-3</v>
      </c>
      <c r="AA17" s="41">
        <f>IF(AA16&gt;условия!$Q$50*12,0,IF(условия!$Q$50=0,0,1/(условия!$Q$50*12)))</f>
        <v>8.3333333333333332E-3</v>
      </c>
      <c r="AB17" s="41">
        <f>IF(AB16&gt;условия!$Q$50*12,0,IF(условия!$Q$50=0,0,1/(условия!$Q$50*12)))</f>
        <v>8.3333333333333332E-3</v>
      </c>
      <c r="AC17" s="41">
        <f>IF(AC16&gt;условия!$Q$50*12,0,IF(условия!$Q$50=0,0,1/(условия!$Q$50*12)))</f>
        <v>8.3333333333333332E-3</v>
      </c>
      <c r="AD17" s="41">
        <f>IF(AD16&gt;условия!$Q$50*12,0,IF(условия!$Q$50=0,0,1/(условия!$Q$50*12)))</f>
        <v>8.3333333333333332E-3</v>
      </c>
      <c r="AE17" s="41">
        <f>IF(AE16&gt;условия!$Q$50*12,0,IF(условия!$Q$50=0,0,1/(условия!$Q$50*12)))</f>
        <v>8.3333333333333332E-3</v>
      </c>
      <c r="AF17" s="41">
        <f>IF(AF16&gt;условия!$Q$50*12,0,IF(условия!$Q$50=0,0,1/(условия!$Q$50*12)))</f>
        <v>8.3333333333333332E-3</v>
      </c>
      <c r="AG17" s="41">
        <f>IF(AG16&gt;условия!$Q$50*12,0,IF(условия!$Q$50=0,0,1/(условия!$Q$50*12)))</f>
        <v>8.3333333333333332E-3</v>
      </c>
      <c r="AH17" s="41">
        <f>IF(AH16&gt;условия!$Q$50*12,0,IF(условия!$Q$50=0,0,1/(условия!$Q$50*12)))</f>
        <v>8.3333333333333332E-3</v>
      </c>
      <c r="AI17" s="41">
        <f>IF(AI16&gt;условия!$Q$50*12,0,IF(условия!$Q$50=0,0,1/(условия!$Q$50*12)))</f>
        <v>8.3333333333333332E-3</v>
      </c>
      <c r="AJ17" s="41">
        <f>IF(AJ16&gt;условия!$Q$50*12,0,IF(условия!$Q$50=0,0,1/(условия!$Q$50*12)))</f>
        <v>8.3333333333333332E-3</v>
      </c>
      <c r="AK17" s="41">
        <f>IF(AK16&gt;условия!$Q$50*12,0,IF(условия!$Q$50=0,0,1/(условия!$Q$50*12)))</f>
        <v>8.3333333333333332E-3</v>
      </c>
      <c r="AL17" s="41">
        <f>IF(AL16&gt;условия!$Q$50*12,0,IF(условия!$Q$50=0,0,1/(условия!$Q$50*12)))</f>
        <v>8.3333333333333332E-3</v>
      </c>
      <c r="AM17" s="41">
        <f>IF(AM16&gt;условия!$Q$50*12,0,IF(условия!$Q$50=0,0,1/(условия!$Q$50*12)))</f>
        <v>8.3333333333333332E-3</v>
      </c>
      <c r="AN17" s="41">
        <f>IF(AN16&gt;условия!$Q$50*12,0,IF(условия!$Q$50=0,0,1/(условия!$Q$50*12)))</f>
        <v>8.3333333333333332E-3</v>
      </c>
      <c r="AO17" s="41">
        <f>IF(AO16&gt;условия!$Q$50*12,0,IF(условия!$Q$50=0,0,1/(условия!$Q$50*12)))</f>
        <v>8.3333333333333332E-3</v>
      </c>
      <c r="AP17" s="41">
        <f>IF(AP16&gt;условия!$Q$50*12,0,IF(условия!$Q$50=0,0,1/(условия!$Q$50*12)))</f>
        <v>8.3333333333333332E-3</v>
      </c>
      <c r="AQ17" s="41">
        <f>IF(AQ16&gt;условия!$Q$50*12,0,IF(условия!$Q$50=0,0,1/(условия!$Q$50*12)))</f>
        <v>8.3333333333333332E-3</v>
      </c>
      <c r="AR17" s="41">
        <f>IF(AR16&gt;условия!$Q$50*12,0,IF(условия!$Q$50=0,0,1/(условия!$Q$50*12)))</f>
        <v>8.3333333333333332E-3</v>
      </c>
      <c r="AS17" s="41">
        <f>IF(AS16&gt;условия!$Q$50*12,0,IF(условия!$Q$50=0,0,1/(условия!$Q$50*12)))</f>
        <v>8.3333333333333332E-3</v>
      </c>
      <c r="AT17" s="41">
        <f>IF(AT16&gt;условия!$Q$50*12,0,IF(условия!$Q$50=0,0,1/(условия!$Q$50*12)))</f>
        <v>8.3333333333333332E-3</v>
      </c>
      <c r="AU17" s="41">
        <f>IF(AU16&gt;условия!$Q$50*12,0,IF(условия!$Q$50=0,0,1/(условия!$Q$50*12)))</f>
        <v>8.3333333333333332E-3</v>
      </c>
      <c r="AV17" s="41">
        <f>IF(AV16&gt;условия!$Q$50*12,0,IF(условия!$Q$50=0,0,1/(условия!$Q$50*12)))</f>
        <v>8.3333333333333332E-3</v>
      </c>
      <c r="AW17" s="41">
        <f>IF(AW16&gt;условия!$Q$50*12,0,IF(условия!$Q$50=0,0,1/(условия!$Q$50*12)))</f>
        <v>8.3333333333333332E-3</v>
      </c>
      <c r="AX17" s="41">
        <f>IF(AX16&gt;условия!$Q$50*12,0,IF(условия!$Q$50=0,0,1/(условия!$Q$50*12)))</f>
        <v>8.3333333333333332E-3</v>
      </c>
      <c r="AY17" s="41">
        <f>IF(AY16&gt;условия!$Q$50*12,0,IF(условия!$Q$50=0,0,1/(условия!$Q$50*12)))</f>
        <v>8.3333333333333332E-3</v>
      </c>
      <c r="AZ17" s="41">
        <f>IF(AZ16&gt;условия!$Q$50*12,0,IF(условия!$Q$50=0,0,1/(условия!$Q$50*12)))</f>
        <v>8.3333333333333332E-3</v>
      </c>
      <c r="BA17" s="41">
        <f>IF(BA16&gt;условия!$Q$50*12,0,IF(условия!$Q$50=0,0,1/(условия!$Q$50*12)))</f>
        <v>8.3333333333333332E-3</v>
      </c>
      <c r="BB17" s="41">
        <f>IF(BB16&gt;условия!$Q$50*12,0,IF(условия!$Q$50=0,0,1/(условия!$Q$50*12)))</f>
        <v>8.3333333333333332E-3</v>
      </c>
      <c r="BC17" s="41">
        <f>IF(BC16&gt;условия!$Q$50*12,0,IF(условия!$Q$50=0,0,1/(условия!$Q$50*12)))</f>
        <v>8.3333333333333332E-3</v>
      </c>
      <c r="BD17" s="41">
        <f>IF(BD16&gt;условия!$Q$50*12,0,IF(условия!$Q$50=0,0,1/(условия!$Q$50*12)))</f>
        <v>8.3333333333333332E-3</v>
      </c>
      <c r="BE17" s="41">
        <f>IF(BE16&gt;условия!$Q$50*12,0,IF(условия!$Q$50=0,0,1/(условия!$Q$50*12)))</f>
        <v>8.3333333333333332E-3</v>
      </c>
      <c r="BF17" s="41">
        <f>IF(BF16&gt;условия!$Q$50*12,0,IF(условия!$Q$50=0,0,1/(условия!$Q$50*12)))</f>
        <v>8.3333333333333332E-3</v>
      </c>
      <c r="BG17" s="41">
        <f>IF(BG16&gt;условия!$Q$50*12,0,IF(условия!$Q$50=0,0,1/(условия!$Q$50*12)))</f>
        <v>8.3333333333333332E-3</v>
      </c>
      <c r="BH17" s="41">
        <f>IF(BH16&gt;условия!$Q$50*12,0,IF(условия!$Q$50=0,0,1/(условия!$Q$50*12)))</f>
        <v>8.3333333333333332E-3</v>
      </c>
      <c r="BI17" s="41">
        <f>IF(BI16&gt;условия!$Q$50*12,0,IF(условия!$Q$50=0,0,1/(условия!$Q$50*12)))</f>
        <v>8.3333333333333332E-3</v>
      </c>
      <c r="BJ17" s="41">
        <f>IF(BJ16&gt;условия!$Q$50*12,0,IF(условия!$Q$50=0,0,1/(условия!$Q$50*12)))</f>
        <v>8.3333333333333332E-3</v>
      </c>
      <c r="BK17" s="41">
        <f>IF(BK16&gt;условия!$Q$50*12,0,IF(условия!$Q$50=0,0,1/(условия!$Q$50*12)))</f>
        <v>8.3333333333333332E-3</v>
      </c>
      <c r="BL17" s="41">
        <f>IF(BL16&gt;условия!$Q$50*12,0,IF(условия!$Q$50=0,0,1/(условия!$Q$50*12)))</f>
        <v>8.3333333333333332E-3</v>
      </c>
      <c r="BM17" s="41">
        <f>IF(BM16&gt;условия!$Q$50*12,0,IF(условия!$Q$50=0,0,1/(условия!$Q$50*12)))</f>
        <v>8.3333333333333332E-3</v>
      </c>
      <c r="BN17" s="41">
        <f>IF(BN16&gt;условия!$Q$50*12,0,IF(условия!$Q$50=0,0,1/(условия!$Q$50*12)))</f>
        <v>8.3333333333333332E-3</v>
      </c>
      <c r="BO17" s="41">
        <f>IF(BO16&gt;условия!$Q$50*12,0,IF(условия!$Q$50=0,0,1/(условия!$Q$50*12)))</f>
        <v>8.3333333333333332E-3</v>
      </c>
      <c r="BP17" s="41">
        <f>IF(BP16&gt;условия!$Q$50*12,0,IF(условия!$Q$50=0,0,1/(условия!$Q$50*12)))</f>
        <v>8.3333333333333332E-3</v>
      </c>
      <c r="BQ17" s="41">
        <f>IF(BQ16&gt;условия!$Q$50*12,0,IF(условия!$Q$50=0,0,1/(условия!$Q$50*12)))</f>
        <v>8.3333333333333332E-3</v>
      </c>
      <c r="BR17" s="41">
        <f>IF(BR16&gt;условия!$Q$50*12,0,IF(условия!$Q$50=0,0,1/(условия!$Q$50*12)))</f>
        <v>8.3333333333333332E-3</v>
      </c>
      <c r="BS17" s="41">
        <f>IF(BS16&gt;условия!$Q$50*12,0,IF(условия!$Q$50=0,0,1/(условия!$Q$50*12)))</f>
        <v>8.3333333333333332E-3</v>
      </c>
      <c r="BT17" s="41">
        <f>IF(BT16&gt;условия!$Q$50*12,0,IF(условия!$Q$50=0,0,1/(условия!$Q$50*12)))</f>
        <v>8.3333333333333332E-3</v>
      </c>
      <c r="BU17" s="41">
        <f>IF(BU16&gt;условия!$Q$50*12,0,IF(условия!$Q$50=0,0,1/(условия!$Q$50*12)))</f>
        <v>8.3333333333333332E-3</v>
      </c>
      <c r="BV17" s="41">
        <f>IF(BV16&gt;условия!$Q$50*12,0,IF(условия!$Q$50=0,0,1/(условия!$Q$50*12)))</f>
        <v>8.3333333333333332E-3</v>
      </c>
      <c r="BW17" s="41">
        <f>IF(BW16&gt;условия!$Q$50*12,0,IF(условия!$Q$50=0,0,1/(условия!$Q$50*12)))</f>
        <v>8.3333333333333332E-3</v>
      </c>
      <c r="BX17" s="41">
        <f>IF(BX16&gt;условия!$Q$50*12,0,IF(условия!$Q$50=0,0,1/(условия!$Q$50*12)))</f>
        <v>8.3333333333333332E-3</v>
      </c>
      <c r="BY17" s="41">
        <f>IF(BY16&gt;условия!$Q$50*12,0,IF(условия!$Q$50=0,0,1/(условия!$Q$50*12)))</f>
        <v>8.3333333333333332E-3</v>
      </c>
      <c r="BZ17" s="41">
        <f>IF(BZ16&gt;условия!$Q$50*12,0,IF(условия!$Q$50=0,0,1/(условия!$Q$50*12)))</f>
        <v>8.3333333333333332E-3</v>
      </c>
      <c r="CA17" s="41">
        <f>IF(CA16&gt;условия!$Q$50*12,0,IF(условия!$Q$50=0,0,1/(условия!$Q$50*12)))</f>
        <v>8.3333333333333332E-3</v>
      </c>
      <c r="CB17" s="41">
        <f>IF(CB16&gt;условия!$Q$50*12,0,IF(условия!$Q$50=0,0,1/(условия!$Q$50*12)))</f>
        <v>8.3333333333333332E-3</v>
      </c>
      <c r="CC17" s="41">
        <f>IF(CC16&gt;условия!$Q$50*12,0,IF(условия!$Q$50=0,0,1/(условия!$Q$50*12)))</f>
        <v>8.3333333333333332E-3</v>
      </c>
      <c r="CD17" s="41">
        <f>IF(CD16&gt;условия!$Q$50*12,0,IF(условия!$Q$50=0,0,1/(условия!$Q$50*12)))</f>
        <v>8.3333333333333332E-3</v>
      </c>
      <c r="CE17" s="41">
        <f>IF(CE16&gt;условия!$Q$50*12,0,IF(условия!$Q$50=0,0,1/(условия!$Q$50*12)))</f>
        <v>8.3333333333333332E-3</v>
      </c>
      <c r="CF17" s="41">
        <f>IF(CF16&gt;условия!$Q$50*12,0,IF(условия!$Q$50=0,0,1/(условия!$Q$50*12)))</f>
        <v>8.3333333333333332E-3</v>
      </c>
      <c r="CG17" s="41">
        <f>IF(CG16&gt;условия!$Q$50*12,0,IF(условия!$Q$50=0,0,1/(условия!$Q$50*12)))</f>
        <v>8.3333333333333332E-3</v>
      </c>
      <c r="CH17" s="41">
        <f>IF(CH16&gt;условия!$Q$50*12,0,IF(условия!$Q$50=0,0,1/(условия!$Q$50*12)))</f>
        <v>8.3333333333333332E-3</v>
      </c>
      <c r="CI17" s="41">
        <f>IF(CI16&gt;условия!$Q$50*12,0,IF(условия!$Q$50=0,0,1/(условия!$Q$50*12)))</f>
        <v>8.3333333333333332E-3</v>
      </c>
      <c r="CJ17" s="41">
        <f>IF(CJ16&gt;условия!$Q$50*12,0,IF(условия!$Q$50=0,0,1/(условия!$Q$50*12)))</f>
        <v>8.3333333333333332E-3</v>
      </c>
      <c r="CK17" s="41">
        <f>IF(CK16&gt;условия!$Q$50*12,0,IF(условия!$Q$50=0,0,1/(условия!$Q$50*12)))</f>
        <v>8.3333333333333332E-3</v>
      </c>
      <c r="CL17" s="41">
        <f>IF(CL16&gt;условия!$Q$50*12,0,IF(условия!$Q$50=0,0,1/(условия!$Q$50*12)))</f>
        <v>8.3333333333333332E-3</v>
      </c>
      <c r="CM17" s="41">
        <f>IF(CM16&gt;условия!$Q$50*12,0,IF(условия!$Q$50=0,0,1/(условия!$Q$50*12)))</f>
        <v>8.3333333333333332E-3</v>
      </c>
      <c r="CN17" s="41">
        <f>IF(CN16&gt;условия!$Q$50*12,0,IF(условия!$Q$50=0,0,1/(условия!$Q$50*12)))</f>
        <v>8.3333333333333332E-3</v>
      </c>
      <c r="CO17" s="41">
        <f>IF(CO16&gt;условия!$Q$50*12,0,IF(условия!$Q$50=0,0,1/(условия!$Q$50*12)))</f>
        <v>8.3333333333333332E-3</v>
      </c>
      <c r="CP17" s="41">
        <f>IF(CP16&gt;условия!$Q$50*12,0,IF(условия!$Q$50=0,0,1/(условия!$Q$50*12)))</f>
        <v>8.3333333333333332E-3</v>
      </c>
      <c r="CQ17" s="41">
        <f>IF(CQ16&gt;условия!$Q$50*12,0,IF(условия!$Q$50=0,0,1/(условия!$Q$50*12)))</f>
        <v>8.3333333333333332E-3</v>
      </c>
      <c r="CR17" s="41">
        <f>IF(CR16&gt;условия!$Q$50*12,0,IF(условия!$Q$50=0,0,1/(условия!$Q$50*12)))</f>
        <v>8.3333333333333332E-3</v>
      </c>
      <c r="CS17" s="41">
        <f>IF(CS16&gt;условия!$Q$50*12,0,IF(условия!$Q$50=0,0,1/(условия!$Q$50*12)))</f>
        <v>8.3333333333333332E-3</v>
      </c>
      <c r="CT17" s="41">
        <f>IF(CT16&gt;условия!$Q$50*12,0,IF(условия!$Q$50=0,0,1/(условия!$Q$50*12)))</f>
        <v>8.3333333333333332E-3</v>
      </c>
      <c r="CU17" s="41">
        <f>IF(CU16&gt;условия!$Q$50*12,0,IF(условия!$Q$50=0,0,1/(условия!$Q$50*12)))</f>
        <v>8.3333333333333332E-3</v>
      </c>
      <c r="CV17" s="41">
        <f>IF(CV16&gt;условия!$Q$50*12,0,IF(условия!$Q$50=0,0,1/(условия!$Q$50*12)))</f>
        <v>8.3333333333333332E-3</v>
      </c>
      <c r="CW17" s="41">
        <f>IF(CW16&gt;условия!$Q$50*12,0,IF(условия!$Q$50=0,0,1/(условия!$Q$50*12)))</f>
        <v>8.3333333333333332E-3</v>
      </c>
      <c r="CX17" s="41">
        <f>IF(CX16&gt;условия!$Q$50*12,0,IF(условия!$Q$50=0,0,1/(условия!$Q$50*12)))</f>
        <v>8.3333333333333332E-3</v>
      </c>
      <c r="CY17" s="41">
        <f>IF(CY16&gt;условия!$Q$50*12,0,IF(условия!$Q$50=0,0,1/(условия!$Q$50*12)))</f>
        <v>8.3333333333333332E-3</v>
      </c>
      <c r="CZ17" s="41">
        <f>IF(CZ16&gt;условия!$Q$50*12,0,IF(условия!$Q$50=0,0,1/(условия!$Q$50*12)))</f>
        <v>8.3333333333333332E-3</v>
      </c>
      <c r="DA17" s="41">
        <f>IF(DA16&gt;условия!$Q$50*12,0,IF(условия!$Q$50=0,0,1/(условия!$Q$50*12)))</f>
        <v>8.3333333333333332E-3</v>
      </c>
      <c r="DB17" s="41">
        <f>IF(DB16&gt;условия!$Q$50*12,0,IF(условия!$Q$50=0,0,1/(условия!$Q$50*12)))</f>
        <v>8.3333333333333332E-3</v>
      </c>
      <c r="DC17" s="41">
        <f>IF(DC16&gt;условия!$Q$50*12,0,IF(условия!$Q$50=0,0,1/(условия!$Q$50*12)))</f>
        <v>8.3333333333333332E-3</v>
      </c>
      <c r="DD17" s="41">
        <f>IF(DD16&gt;условия!$Q$50*12,0,IF(условия!$Q$50=0,0,1/(условия!$Q$50*12)))</f>
        <v>8.3333333333333332E-3</v>
      </c>
      <c r="DE17" s="41">
        <f>IF(DE16&gt;условия!$Q$50*12,0,IF(условия!$Q$50=0,0,1/(условия!$Q$50*12)))</f>
        <v>8.3333333333333332E-3</v>
      </c>
      <c r="DF17" s="41">
        <f>IF(DF16&gt;условия!$Q$50*12,0,IF(условия!$Q$50=0,0,1/(условия!$Q$50*12)))</f>
        <v>8.3333333333333332E-3</v>
      </c>
      <c r="DG17" s="41">
        <f>IF(DG16&gt;условия!$Q$50*12,0,IF(условия!$Q$50=0,0,1/(условия!$Q$50*12)))</f>
        <v>8.3333333333333332E-3</v>
      </c>
      <c r="DH17" s="41">
        <f>IF(DH16&gt;условия!$Q$50*12,0,IF(условия!$Q$50=0,0,1/(условия!$Q$50*12)))</f>
        <v>8.3333333333333332E-3</v>
      </c>
      <c r="DI17" s="41">
        <f>IF(DI16&gt;условия!$Q$50*12,0,IF(условия!$Q$50=0,0,1/(условия!$Q$50*12)))</f>
        <v>8.3333333333333332E-3</v>
      </c>
      <c r="DJ17" s="41">
        <f>IF(DJ16&gt;условия!$Q$50*12,0,IF(условия!$Q$50=0,0,1/(условия!$Q$50*12)))</f>
        <v>8.3333333333333332E-3</v>
      </c>
      <c r="DK17" s="41">
        <f>IF(DK16&gt;условия!$Q$50*12,0,IF(условия!$Q$50=0,0,1/(условия!$Q$50*12)))</f>
        <v>8.3333333333333332E-3</v>
      </c>
      <c r="DL17" s="41">
        <f>IF(DL16&gt;условия!$Q$50*12,0,IF(условия!$Q$50=0,0,1/(условия!$Q$50*12)))</f>
        <v>8.3333333333333332E-3</v>
      </c>
      <c r="DM17" s="41">
        <f>IF(DM16&gt;условия!$Q$50*12,0,IF(условия!$Q$50=0,0,1/(условия!$Q$50*12)))</f>
        <v>8.3333333333333332E-3</v>
      </c>
      <c r="DN17" s="41">
        <f>IF(DN16&gt;условия!$Q$50*12,0,IF(условия!$Q$50=0,0,1/(условия!$Q$50*12)))</f>
        <v>8.3333333333333332E-3</v>
      </c>
      <c r="DO17" s="41">
        <f>IF(DO16&gt;условия!$Q$50*12,0,IF(условия!$Q$50=0,0,1/(условия!$Q$50*12)))</f>
        <v>8.3333333333333332E-3</v>
      </c>
      <c r="DP17" s="41">
        <f>IF(DP16&gt;условия!$Q$50*12,0,IF(условия!$Q$50=0,0,1/(условия!$Q$50*12)))</f>
        <v>8.3333333333333332E-3</v>
      </c>
      <c r="DQ17" s="41">
        <f>IF(DQ16&gt;условия!$Q$50*12,0,IF(условия!$Q$50=0,0,1/(условия!$Q$50*12)))</f>
        <v>8.3333333333333332E-3</v>
      </c>
      <c r="DR17" s="41">
        <f>IF(DR16&gt;условия!$Q$50*12,0,IF(условия!$Q$50=0,0,1/(условия!$Q$50*12)))</f>
        <v>8.3333333333333332E-3</v>
      </c>
      <c r="DS17" s="41">
        <f>IF(DS16&gt;условия!$Q$50*12,0,IF(условия!$Q$50=0,0,1/(условия!$Q$50*12)))</f>
        <v>8.3333333333333332E-3</v>
      </c>
      <c r="DT17" s="41">
        <f>IF(DT16&gt;условия!$Q$50*12,0,IF(условия!$Q$50=0,0,1/(условия!$Q$50*12)))</f>
        <v>8.3333333333333332E-3</v>
      </c>
      <c r="DU17" s="41">
        <f>IF(DU16&gt;условия!$Q$50*12,0,IF(условия!$Q$50=0,0,1/(условия!$Q$50*12)))</f>
        <v>8.3333333333333332E-3</v>
      </c>
      <c r="DV17" s="41">
        <f>IF(DV16&gt;условия!$Q$50*12,0,IF(условия!$Q$50=0,0,1/(условия!$Q$50*12)))</f>
        <v>8.3333333333333332E-3</v>
      </c>
      <c r="DW17" s="41">
        <f>IF(DW16&gt;условия!$Q$50*12,0,IF(условия!$Q$50=0,0,1/(условия!$Q$50*12)))</f>
        <v>8.3333333333333332E-3</v>
      </c>
      <c r="DX17" s="41">
        <f>IF(DX16&gt;условия!$Q$50*12,0,IF(условия!$Q$50=0,0,1/(условия!$Q$50*12)))</f>
        <v>8.3333333333333332E-3</v>
      </c>
      <c r="DY17" s="41">
        <f>IF(DY16&gt;условия!$Q$50*12,0,IF(условия!$Q$50=0,0,1/(условия!$Q$50*12)))</f>
        <v>8.3333333333333332E-3</v>
      </c>
      <c r="DZ17" s="41">
        <f>IF(DZ16&gt;условия!$Q$50*12,0,IF(условия!$Q$50=0,0,1/(условия!$Q$50*12)))</f>
        <v>8.3333333333333332E-3</v>
      </c>
      <c r="EA17" s="41">
        <f>IF(EA16&gt;условия!$Q$50*12,0,IF(условия!$Q$50=0,0,1/(условия!$Q$50*12)))</f>
        <v>8.3333333333333332E-3</v>
      </c>
      <c r="EB17" s="41">
        <f>IF(EB16&gt;условия!$Q$50*12,0,IF(условия!$Q$50=0,0,1/(условия!$Q$50*12)))</f>
        <v>8.3333333333333332E-3</v>
      </c>
      <c r="EC17" s="41">
        <f>IF(EC16&gt;условия!$Q$50*12,0,IF(условия!$Q$50=0,0,1/(условия!$Q$50*12)))</f>
        <v>8.3333333333333332E-3</v>
      </c>
      <c r="ED17" s="41">
        <f>IF(ED16&gt;условия!$Q$50*12,0,IF(условия!$Q$50=0,0,1/(условия!$Q$50*12)))</f>
        <v>8.3333333333333332E-3</v>
      </c>
      <c r="EE17" s="41">
        <f>IF(EE16&gt;условия!$Q$50*12,0,IF(условия!$Q$50=0,0,1/(условия!$Q$50*12)))</f>
        <v>8.3333333333333332E-3</v>
      </c>
      <c r="EF17" s="41">
        <f>IF(EF16&gt;условия!$Q$50*12,0,IF(условия!$Q$50=0,0,1/(условия!$Q$50*12)))</f>
        <v>8.3333333333333332E-3</v>
      </c>
      <c r="EG17" s="41">
        <f>IF(EG16&gt;условия!$Q$50*12,0,IF(условия!$Q$50=0,0,1/(условия!$Q$50*12)))</f>
        <v>8.3333333333333332E-3</v>
      </c>
      <c r="EH17" s="41">
        <f>IF(EH16&gt;условия!$Q$50*12,0,IF(условия!$Q$50=0,0,1/(условия!$Q$50*12)))</f>
        <v>8.3333333333333332E-3</v>
      </c>
      <c r="EI17" s="41">
        <f>IF(EI16&gt;условия!$Q$50*12,0,IF(условия!$Q$50=0,0,1/(условия!$Q$50*12)))</f>
        <v>8.3333333333333332E-3</v>
      </c>
      <c r="EJ17" s="3"/>
      <c r="EK17" s="3"/>
    </row>
    <row r="18" spans="1:14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</row>
    <row r="19" spans="1:141" x14ac:dyDescent="0.25">
      <c r="A19" s="3"/>
      <c r="B19" s="3"/>
      <c r="C19" s="3"/>
      <c r="D19" s="3"/>
      <c r="E19" s="3"/>
      <c r="F19" s="10" t="str">
        <f>KPI!$F$21</f>
        <v>амортизация начальных кап. затрат</v>
      </c>
      <c r="G19" s="3"/>
      <c r="H19" s="3"/>
      <c r="I19" s="3"/>
      <c r="J19" s="5" t="str">
        <f>IF($F19="","",INDEX(KPI!$I$11:$I$275,SUMIFS(KPI!$E$11:$E$275,KPI!$F$11:$F$275,$F19)))</f>
        <v>тыс.руб.</v>
      </c>
      <c r="K19" s="3"/>
      <c r="L19" s="3"/>
      <c r="M19" s="3"/>
      <c r="N19" s="3"/>
      <c r="O19" s="3"/>
      <c r="P19" s="3"/>
      <c r="Q19" s="12">
        <f>SUM(S19:EJ19)</f>
        <v>68250.000000000087</v>
      </c>
      <c r="R19" s="3"/>
      <c r="S19" s="3"/>
      <c r="T19" s="33">
        <f>SUMPRODUCT($T$15:T$15,$EI$17:$EI$17)</f>
        <v>0</v>
      </c>
      <c r="U19" s="33">
        <f>SUMPRODUCT($T$15:U$15,$EH$17:$EI$17)</f>
        <v>0</v>
      </c>
      <c r="V19" s="33">
        <f>SUMPRODUCT($T$15:V$15,$EG$17:$EI$17)</f>
        <v>291.66666666666669</v>
      </c>
      <c r="W19" s="33">
        <f>SUMPRODUCT($T$15:W$15,$EF$17:$EI$17)</f>
        <v>291.66666666666669</v>
      </c>
      <c r="X19" s="33">
        <f>SUMPRODUCT($T$15:X$15,$EE$17:$EI$17)</f>
        <v>583.33333333333337</v>
      </c>
      <c r="Y19" s="33">
        <f>SUMPRODUCT($T$15:Y$15,$ED$17:$EI$17)</f>
        <v>583.33333333333337</v>
      </c>
      <c r="Z19" s="33">
        <f>SUMPRODUCT($T$15:Z$15,$EC$17:$EI$17)</f>
        <v>583.33333333333337</v>
      </c>
      <c r="AA19" s="33">
        <f>SUMPRODUCT($T$15:AA$15,$EB$17:$EI$17)</f>
        <v>583.33333333333337</v>
      </c>
      <c r="AB19" s="33">
        <f>SUMPRODUCT($T$15:AB$15,$EA$17:$EI$17)</f>
        <v>583.33333333333337</v>
      </c>
      <c r="AC19" s="33">
        <f>SUMPRODUCT($T$15:AC$15,$DZ$17:$EI$17)</f>
        <v>583.33333333333337</v>
      </c>
      <c r="AD19" s="33">
        <f>SUMPRODUCT($T$15:AD$15,$DY$17:$EI$17)</f>
        <v>583.33333333333337</v>
      </c>
      <c r="AE19" s="33">
        <f>SUMPRODUCT($T$15:AE$15,$DX$17:$EI$17)</f>
        <v>583.33333333333337</v>
      </c>
      <c r="AF19" s="33">
        <f>SUMPRODUCT($T$15:AF$15,$DW$17:$EI$17)</f>
        <v>583.33333333333337</v>
      </c>
      <c r="AG19" s="33">
        <f>SUMPRODUCT($T$15:AG$15,$DV$17:$EI$17)</f>
        <v>583.33333333333337</v>
      </c>
      <c r="AH19" s="33">
        <f>SUMPRODUCT($T$15:AH$15,$DU$17:$EI$17)</f>
        <v>583.33333333333337</v>
      </c>
      <c r="AI19" s="33">
        <f>SUMPRODUCT($T$15:AI$15,$DT$17:$EI$17)</f>
        <v>583.33333333333337</v>
      </c>
      <c r="AJ19" s="33">
        <f>SUMPRODUCT($T$15:AJ$15,$DS$17:$EI$17)</f>
        <v>583.33333333333337</v>
      </c>
      <c r="AK19" s="33">
        <f>SUMPRODUCT($T$15:AK$15,$DR$17:$EI$17)</f>
        <v>583.33333333333337</v>
      </c>
      <c r="AL19" s="33">
        <f>SUMPRODUCT($T$15:AL$15,$DQ$17:$EI$17)</f>
        <v>583.33333333333337</v>
      </c>
      <c r="AM19" s="33">
        <f>SUMPRODUCT($T$15:AM$15,$DP$17:$EI$17)</f>
        <v>583.33333333333337</v>
      </c>
      <c r="AN19" s="33">
        <f>SUMPRODUCT($T$15:AN$15,$DO$17:$EI$17)</f>
        <v>583.33333333333337</v>
      </c>
      <c r="AO19" s="33">
        <f>SUMPRODUCT($T$15:AO$15,$DN$17:$EI$17)</f>
        <v>583.33333333333337</v>
      </c>
      <c r="AP19" s="33">
        <f>SUMPRODUCT($T$15:AP$15,$DM$17:$EI$17)</f>
        <v>583.33333333333337</v>
      </c>
      <c r="AQ19" s="33">
        <f>SUMPRODUCT($T$15:AQ$15,$DL$17:$EI$17)</f>
        <v>583.33333333333337</v>
      </c>
      <c r="AR19" s="33">
        <f>SUMPRODUCT($T$15:AR$15,$DK$17:$EI$17)</f>
        <v>583.33333333333337</v>
      </c>
      <c r="AS19" s="33">
        <f>SUMPRODUCT($T$15:AS$15,$DJ$17:$EI$17)</f>
        <v>583.33333333333337</v>
      </c>
      <c r="AT19" s="33">
        <f>SUMPRODUCT($T$15:AT$15,$DI$17:$EI$17)</f>
        <v>583.33333333333337</v>
      </c>
      <c r="AU19" s="33">
        <f>SUMPRODUCT($T$15:AU$15,$DH$17:$EI$17)</f>
        <v>583.33333333333337</v>
      </c>
      <c r="AV19" s="33">
        <f>SUMPRODUCT($T$15:AV$15,$DG$17:$EI$17)</f>
        <v>583.33333333333337</v>
      </c>
      <c r="AW19" s="33">
        <f>SUMPRODUCT($T$15:AW$15,$DF$17:$EI$17)</f>
        <v>583.33333333333337</v>
      </c>
      <c r="AX19" s="33">
        <f>SUMPRODUCT($T$15:AX$15,$DE$17:$EI$17)</f>
        <v>583.33333333333337</v>
      </c>
      <c r="AY19" s="33">
        <f>SUMPRODUCT($T$15:AY$15,$DD$17:$EI$17)</f>
        <v>583.33333333333337</v>
      </c>
      <c r="AZ19" s="33">
        <f>SUMPRODUCT($T$15:AZ$15,$DC$17:$EI$17)</f>
        <v>583.33333333333337</v>
      </c>
      <c r="BA19" s="33">
        <f>SUMPRODUCT($T$15:BA$15,$DB$17:$EI$17)</f>
        <v>583.33333333333337</v>
      </c>
      <c r="BB19" s="33">
        <f>SUMPRODUCT($T$15:BB$15,$DA$17:$EI$17)</f>
        <v>583.33333333333337</v>
      </c>
      <c r="BC19" s="33">
        <f>SUMPRODUCT($T$15:BC$15,$CZ$17:$EI$17)</f>
        <v>583.33333333333337</v>
      </c>
      <c r="BD19" s="33">
        <f>SUMPRODUCT($T$15:BD$15,$CY$17:$EI$17)</f>
        <v>583.33333333333337</v>
      </c>
      <c r="BE19" s="33">
        <f>SUMPRODUCT($T$15:BE$15,$CX$17:$EI$17)</f>
        <v>583.33333333333337</v>
      </c>
      <c r="BF19" s="33">
        <f>SUMPRODUCT($T$15:BF$15,$CW$17:$EI$17)</f>
        <v>583.33333333333337</v>
      </c>
      <c r="BG19" s="33">
        <f>SUMPRODUCT($T$15:BG$15,$CV$17:$EI$17)</f>
        <v>583.33333333333337</v>
      </c>
      <c r="BH19" s="33">
        <f>SUMPRODUCT($T$15:BH$15,$CU$17:$EI$17)</f>
        <v>583.33333333333337</v>
      </c>
      <c r="BI19" s="33">
        <f>SUMPRODUCT($T$15:BI$15,$CT$17:$EI$17)</f>
        <v>583.33333333333337</v>
      </c>
      <c r="BJ19" s="33">
        <f>SUMPRODUCT($T$15:BJ$15,$CS$17:$EI$17)</f>
        <v>583.33333333333337</v>
      </c>
      <c r="BK19" s="33">
        <f>SUMPRODUCT($T$15:BK$15,$CR$17:$EI$17)</f>
        <v>583.33333333333337</v>
      </c>
      <c r="BL19" s="33">
        <f>SUMPRODUCT($T$15:BL$15,$CQ$17:$EI$17)</f>
        <v>583.33333333333337</v>
      </c>
      <c r="BM19" s="33">
        <f>SUMPRODUCT($T$15:BM$15,$CP$17:$EI$17)</f>
        <v>583.33333333333337</v>
      </c>
      <c r="BN19" s="33">
        <f>SUMPRODUCT($T$15:BN$15,$CO$17:$EI$17)</f>
        <v>583.33333333333337</v>
      </c>
      <c r="BO19" s="33">
        <f>SUMPRODUCT($T$15:BO$15,$CN$17:$EI$17)</f>
        <v>583.33333333333337</v>
      </c>
      <c r="BP19" s="33">
        <f>SUMPRODUCT($T$15:BP$15,$CM$17:$EI$17)</f>
        <v>583.33333333333337</v>
      </c>
      <c r="BQ19" s="33">
        <f>SUMPRODUCT($T$15:BQ$15,$CL$17:$EI$17)</f>
        <v>583.33333333333337</v>
      </c>
      <c r="BR19" s="33">
        <f>SUMPRODUCT($T$15:BR$15,$CK$17:$EI$17)</f>
        <v>583.33333333333337</v>
      </c>
      <c r="BS19" s="33">
        <f>SUMPRODUCT($T$15:BS$15,$CJ$17:$EI$17)</f>
        <v>583.33333333333337</v>
      </c>
      <c r="BT19" s="33">
        <f>SUMPRODUCT($T$15:BT$15,$CI$17:$EI$17)</f>
        <v>583.33333333333337</v>
      </c>
      <c r="BU19" s="33">
        <f>SUMPRODUCT($T$15:BU$15,$CH$17:$EI$17)</f>
        <v>583.33333333333337</v>
      </c>
      <c r="BV19" s="33">
        <f>SUMPRODUCT($T$15:BV$15,$CG$17:$EI$17)</f>
        <v>583.33333333333337</v>
      </c>
      <c r="BW19" s="33">
        <f>SUMPRODUCT($T$15:BW$15,$CF$17:$EI$17)</f>
        <v>583.33333333333337</v>
      </c>
      <c r="BX19" s="33">
        <f>SUMPRODUCT($T$15:BX$15,$CE$17:$EI$17)</f>
        <v>583.33333333333337</v>
      </c>
      <c r="BY19" s="33">
        <f>SUMPRODUCT($T$15:BY$15,$CD$17:$EI$17)</f>
        <v>583.33333333333337</v>
      </c>
      <c r="BZ19" s="33">
        <f>SUMPRODUCT($T$15:BZ$15,$CC$17:$EI$17)</f>
        <v>583.33333333333337</v>
      </c>
      <c r="CA19" s="33">
        <f>SUMPRODUCT($T$15:CA$15,$CB$17:$EI$17)</f>
        <v>583.33333333333337</v>
      </c>
      <c r="CB19" s="33">
        <f>SUMPRODUCT($T$15:CB$15,$CA$17:$EI$17)</f>
        <v>583.33333333333337</v>
      </c>
      <c r="CC19" s="33">
        <f>SUMPRODUCT($T$15:CC$15,$BZ$17:$EI$17)</f>
        <v>583.33333333333337</v>
      </c>
      <c r="CD19" s="33">
        <f>SUMPRODUCT($T$15:CD$15,$BY$17:$EI$17)</f>
        <v>583.33333333333337</v>
      </c>
      <c r="CE19" s="33">
        <f>SUMPRODUCT($T$15:CE$15,$BX$17:$EI$17)</f>
        <v>583.33333333333337</v>
      </c>
      <c r="CF19" s="33">
        <f>SUMPRODUCT($T$15:CF$15,$BW$17:$EI$17)</f>
        <v>583.33333333333337</v>
      </c>
      <c r="CG19" s="33">
        <f>SUMPRODUCT($T$15:CG$15,$BV$17:$EI$17)</f>
        <v>583.33333333333337</v>
      </c>
      <c r="CH19" s="33">
        <f>SUMPRODUCT($T$15:CH$15,$BU$17:$EI$17)</f>
        <v>583.33333333333337</v>
      </c>
      <c r="CI19" s="33">
        <f>SUMPRODUCT($T$15:CI$15,$BT$17:$EI$17)</f>
        <v>583.33333333333337</v>
      </c>
      <c r="CJ19" s="33">
        <f>SUMPRODUCT($T$15:CJ$15,$BS$17:$EI$17)</f>
        <v>583.33333333333337</v>
      </c>
      <c r="CK19" s="33">
        <f>SUMPRODUCT($T$15:CK$15,$BR$17:$EI$17)</f>
        <v>583.33333333333337</v>
      </c>
      <c r="CL19" s="33">
        <f>SUMPRODUCT($T$15:CL$15,$BQ$17:$EI$17)</f>
        <v>583.33333333333337</v>
      </c>
      <c r="CM19" s="33">
        <f>SUMPRODUCT($T$15:CM$15,$BP$17:$EI$17)</f>
        <v>583.33333333333337</v>
      </c>
      <c r="CN19" s="33">
        <f>SUMPRODUCT($T$15:CN$15,$BO$17:$EI$17)</f>
        <v>583.33333333333337</v>
      </c>
      <c r="CO19" s="33">
        <f>SUMPRODUCT($T$15:CO$15,$BN$17:$EI$17)</f>
        <v>583.33333333333337</v>
      </c>
      <c r="CP19" s="33">
        <f>SUMPRODUCT($T$15:CP$15,$BM$17:$EI$17)</f>
        <v>583.33333333333337</v>
      </c>
      <c r="CQ19" s="33">
        <f>SUMPRODUCT($T$15:CQ$15,$BL$17:$EI$17)</f>
        <v>583.33333333333337</v>
      </c>
      <c r="CR19" s="33">
        <f>SUMPRODUCT($T$15:CR$15,$BK$17:$EI$17)</f>
        <v>583.33333333333337</v>
      </c>
      <c r="CS19" s="33">
        <f>SUMPRODUCT($T$15:CS$15,$BJ$17:$EI$17)</f>
        <v>583.33333333333337</v>
      </c>
      <c r="CT19" s="33">
        <f>SUMPRODUCT($T$15:CT$15,$BI$17:$EI$17)</f>
        <v>583.33333333333337</v>
      </c>
      <c r="CU19" s="33">
        <f>SUMPRODUCT($T$15:CU$15,$BH$17:$EI$17)</f>
        <v>583.33333333333337</v>
      </c>
      <c r="CV19" s="33">
        <f>SUMPRODUCT($T$15:CV$15,$BG$17:$EI$17)</f>
        <v>583.33333333333337</v>
      </c>
      <c r="CW19" s="33">
        <f>SUMPRODUCT($T$15:CW$15,$BF$17:$EI$17)</f>
        <v>583.33333333333337</v>
      </c>
      <c r="CX19" s="33">
        <f>SUMPRODUCT($T$15:CX$15,$BE$17:$EI$17)</f>
        <v>583.33333333333337</v>
      </c>
      <c r="CY19" s="33">
        <f>SUMPRODUCT($T$15:CY$15,$BD$17:$EI$17)</f>
        <v>583.33333333333337</v>
      </c>
      <c r="CZ19" s="33">
        <f>SUMPRODUCT($T$15:CZ$15,$BC$17:$EI$17)</f>
        <v>583.33333333333337</v>
      </c>
      <c r="DA19" s="33">
        <f>SUMPRODUCT($T$15:DA$15,$BB$17:$EI$17)</f>
        <v>583.33333333333337</v>
      </c>
      <c r="DB19" s="33">
        <f>SUMPRODUCT($T$15:DB$15,$BA$17:$EI$17)</f>
        <v>583.33333333333337</v>
      </c>
      <c r="DC19" s="33">
        <f>SUMPRODUCT($T$15:DC$15,$AZ$17:$EI$17)</f>
        <v>583.33333333333337</v>
      </c>
      <c r="DD19" s="33">
        <f>SUMPRODUCT($T$15:DD$15,$AY$17:$EI$17)</f>
        <v>583.33333333333337</v>
      </c>
      <c r="DE19" s="33">
        <f>SUMPRODUCT($T$15:DE$15,$AX$17:$EI$17)</f>
        <v>583.33333333333337</v>
      </c>
      <c r="DF19" s="33">
        <f>SUMPRODUCT($T$15:DF$15,$AW$17:$EI$17)</f>
        <v>583.33333333333337</v>
      </c>
      <c r="DG19" s="33">
        <f>SUMPRODUCT($T$15:DG$15,$AV$17:$EI$17)</f>
        <v>583.33333333333337</v>
      </c>
      <c r="DH19" s="33">
        <f>SUMPRODUCT($T$15:DH$15,$AU$17:$EI$17)</f>
        <v>583.33333333333337</v>
      </c>
      <c r="DI19" s="33">
        <f>SUMPRODUCT($T$15:DI$15,$AT$17:$EI$17)</f>
        <v>583.33333333333337</v>
      </c>
      <c r="DJ19" s="33">
        <f>SUMPRODUCT($T$15:DJ$15,$AS$17:$EI$17)</f>
        <v>583.33333333333337</v>
      </c>
      <c r="DK19" s="33">
        <f>SUMPRODUCT($T$15:DK$15,$AR$17:$EI$17)</f>
        <v>583.33333333333337</v>
      </c>
      <c r="DL19" s="33">
        <f>SUMPRODUCT($T$15:DL$15,$AQ$17:$EI$17)</f>
        <v>583.33333333333337</v>
      </c>
      <c r="DM19" s="33">
        <f>SUMPRODUCT($T$15:DM$15,$AP$17:$EI$17)</f>
        <v>583.33333333333337</v>
      </c>
      <c r="DN19" s="33">
        <f>SUMPRODUCT($T$15:DN$15,$AO$17:$EI$17)</f>
        <v>583.33333333333337</v>
      </c>
      <c r="DO19" s="33">
        <f>SUMPRODUCT($T$15:DO$15,$AN$17:$EI$17)</f>
        <v>583.33333333333337</v>
      </c>
      <c r="DP19" s="33">
        <f>SUMPRODUCT($T$15:DP$15,$AM$17:$EI$17)</f>
        <v>583.33333333333337</v>
      </c>
      <c r="DQ19" s="33">
        <f>SUMPRODUCT($T$15:DQ$15,$AL$17:$EI$17)</f>
        <v>583.33333333333337</v>
      </c>
      <c r="DR19" s="33">
        <f>SUMPRODUCT($T$15:DR$15,$AK$17:$EI$17)</f>
        <v>583.33333333333337</v>
      </c>
      <c r="DS19" s="33">
        <f>SUMPRODUCT($T$15:DS$15,$AJ$17:$EI$17)</f>
        <v>583.33333333333337</v>
      </c>
      <c r="DT19" s="33">
        <f>SUMPRODUCT($T$15:DT$15,$AI$17:$EI$17)</f>
        <v>583.33333333333337</v>
      </c>
      <c r="DU19" s="33">
        <f>SUMPRODUCT($T$15:DU$15,$AH$17:$EI$17)</f>
        <v>583.33333333333337</v>
      </c>
      <c r="DV19" s="33">
        <f>SUMPRODUCT($T$15:DV$15,$AG$17:$EI$17)</f>
        <v>583.33333333333337</v>
      </c>
      <c r="DW19" s="33">
        <f>SUMPRODUCT($T$15:DW$15,$AF$17:$EI$17)</f>
        <v>583.33333333333337</v>
      </c>
      <c r="DX19" s="33">
        <f>SUMPRODUCT($T$15:DX$15,$AE$17:$EI$17)</f>
        <v>583.33333333333337</v>
      </c>
      <c r="DY19" s="33">
        <f>SUMPRODUCT($T$15:DY$15,$AD$17:$EI$17)</f>
        <v>583.33333333333337</v>
      </c>
      <c r="DZ19" s="33">
        <f>SUMPRODUCT($T$15:DZ$15,$AC$17:$EI$17)</f>
        <v>583.33333333333337</v>
      </c>
      <c r="EA19" s="33">
        <f>SUMPRODUCT($T$15:EA$15,$AB$17:$EI$17)</f>
        <v>583.33333333333337</v>
      </c>
      <c r="EB19" s="33">
        <f>SUMPRODUCT($T$15:EB$15,$AA$17:$EI$17)</f>
        <v>583.33333333333337</v>
      </c>
      <c r="EC19" s="33">
        <f>SUMPRODUCT($T$15:EC$15,$Z$17:$EI$17)</f>
        <v>583.33333333333337</v>
      </c>
      <c r="ED19" s="33">
        <f>SUMPRODUCT($T$15:ED$15,$Y$17:$EI$17)</f>
        <v>583.33333333333337</v>
      </c>
      <c r="EE19" s="33">
        <f>SUMPRODUCT($T$15:EE$15,$X$17:$EI$17)</f>
        <v>583.33333333333337</v>
      </c>
      <c r="EF19" s="33">
        <f>SUMPRODUCT($T$15:EF$15,$W$17:$EI$17)</f>
        <v>583.33333333333337</v>
      </c>
      <c r="EG19" s="33">
        <f>SUMPRODUCT($T$15:EG$15,$V$17:$EI$17)</f>
        <v>583.33333333333337</v>
      </c>
      <c r="EH19" s="33">
        <f>SUMPRODUCT($T$15:EH$15,$U$17:$EI$17)</f>
        <v>583.33333333333337</v>
      </c>
      <c r="EI19" s="33">
        <f>SUMPRODUCT($T$15:EI$15,$T$17:$EI$17)</f>
        <v>583.33333333333337</v>
      </c>
      <c r="EJ19" s="3"/>
      <c r="EK19" s="3"/>
    </row>
    <row r="20" spans="1:14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</row>
    <row r="21" spans="1:141" x14ac:dyDescent="0.25">
      <c r="A21" s="3"/>
      <c r="B21" s="3"/>
      <c r="C21" s="3"/>
      <c r="D21" s="3"/>
      <c r="E21" s="3"/>
      <c r="F21" s="10" t="str">
        <f>KPI!$F$30</f>
        <v>план продаж в количестве ГП</v>
      </c>
      <c r="G21" s="3"/>
      <c r="H21" s="3"/>
      <c r="I21" s="3"/>
      <c r="J21" s="5" t="str">
        <f>IF($F21="","",INDEX(KPI!$I$11:$I$275,SUMIFS(KPI!$E$11:$E$275,KPI!$F$11:$F$275,$F21)))</f>
        <v>ед. ГП</v>
      </c>
      <c r="K21" s="3"/>
      <c r="L21" s="3"/>
      <c r="M21" s="3"/>
      <c r="N21" s="3"/>
      <c r="O21" s="3"/>
      <c r="P21" s="3"/>
      <c r="Q21" s="12">
        <f>SUM(S21:EJ21)</f>
        <v>49551500</v>
      </c>
      <c r="R21" s="3"/>
      <c r="S21" s="3"/>
      <c r="T21" s="33">
        <f>IF(SUM(U13:$EJ$13)&lt;&gt;0,0,SUMIFS(условия!$64:$64,условия!$8:$8,"&lt;="&amp;T$9,условия!$9:$9,"&gt;="&amp;T$9)*SUMIFS(условия!$Q$66:$Q$77,условия!$L$66:$L$77,MONTH(T$9)))</f>
        <v>0</v>
      </c>
      <c r="U21" s="33">
        <f>IF(SUM(V13:$EJ$13)&lt;&gt;0,0,SUMIFS(условия!$64:$64,условия!$8:$8,"&lt;="&amp;U$9,условия!$9:$9,"&gt;="&amp;U$9)*SUMIFS(условия!$Q$66:$Q$77,условия!$L$66:$L$77,MONTH(U$9)))</f>
        <v>0</v>
      </c>
      <c r="V21" s="33">
        <f>IF(SUM(W13:$EJ$13)&lt;&gt;0,0,SUMIFS(условия!$64:$64,условия!$8:$8,"&lt;="&amp;V$9,условия!$9:$9,"&gt;="&amp;V$9)*SUMIFS(условия!$Q$66:$Q$77,условия!$L$66:$L$77,MONTH(V$9)))</f>
        <v>0</v>
      </c>
      <c r="W21" s="33">
        <f>IF(SUM(X13:$EJ$13)&lt;&gt;0,0,SUMIFS(условия!$64:$64,условия!$8:$8,"&lt;="&amp;W$9,условия!$9:$9,"&gt;="&amp;W$9)*SUMIFS(условия!$Q$66:$Q$77,условия!$L$66:$L$77,MONTH(W$9)))</f>
        <v>0</v>
      </c>
      <c r="X21" s="33">
        <f>IF(SUM(Y13:$EJ$13)&lt;&gt;0,0,SUMIFS(условия!$64:$64,условия!$8:$8,"&lt;="&amp;X$9,условия!$9:$9,"&gt;="&amp;X$9)*SUMIFS(условия!$Q$66:$Q$77,условия!$L$66:$L$77,MONTH(X$9)))</f>
        <v>9000</v>
      </c>
      <c r="Y21" s="33">
        <f>IF(SUM(Z13:$EJ$13)&lt;&gt;0,0,SUMIFS(условия!$64:$64,условия!$8:$8,"&lt;="&amp;Y$9,условия!$9:$9,"&gt;="&amp;Y$9)*SUMIFS(условия!$Q$66:$Q$77,условия!$L$66:$L$77,MONTH(Y$9)))</f>
        <v>7500</v>
      </c>
      <c r="Z21" s="33">
        <f>IF(SUM(AA13:$EJ$13)&lt;&gt;0,0,SUMIFS(условия!$64:$64,условия!$8:$8,"&lt;="&amp;Z$9,условия!$9:$9,"&gt;="&amp;Z$9)*SUMIFS(условия!$Q$66:$Q$77,условия!$L$66:$L$77,MONTH(Z$9)))</f>
        <v>7500</v>
      </c>
      <c r="AA21" s="33">
        <f>IF(SUM(AB13:$EJ$13)&lt;&gt;0,0,SUMIFS(условия!$64:$64,условия!$8:$8,"&lt;="&amp;AA$9,условия!$9:$9,"&gt;="&amp;AA$9)*SUMIFS(условия!$Q$66:$Q$77,условия!$L$66:$L$77,MONTH(AA$9)))</f>
        <v>9000</v>
      </c>
      <c r="AB21" s="33">
        <f>IF(SUM(AC13:$EJ$13)&lt;&gt;0,0,SUMIFS(условия!$64:$64,условия!$8:$8,"&lt;="&amp;AB$9,условия!$9:$9,"&gt;="&amp;AB$9)*SUMIFS(условия!$Q$66:$Q$77,условия!$L$66:$L$77,MONTH(AB$9)))</f>
        <v>13500</v>
      </c>
      <c r="AC21" s="33">
        <f>IF(SUM(AD13:$EJ$13)&lt;&gt;0,0,SUMIFS(условия!$64:$64,условия!$8:$8,"&lt;="&amp;AC$9,условия!$9:$9,"&gt;="&amp;AC$9)*SUMIFS(условия!$Q$66:$Q$77,условия!$L$66:$L$77,MONTH(AC$9)))</f>
        <v>18000</v>
      </c>
      <c r="AD21" s="33">
        <f>IF(SUM(AE13:$EJ$13)&lt;&gt;0,0,SUMIFS(условия!$64:$64,условия!$8:$8,"&lt;="&amp;AD$9,условия!$9:$9,"&gt;="&amp;AD$9)*SUMIFS(условия!$Q$66:$Q$77,условия!$L$66:$L$77,MONTH(AD$9)))</f>
        <v>22500</v>
      </c>
      <c r="AE21" s="33">
        <f>IF(SUM(AF13:$EJ$13)&lt;&gt;0,0,SUMIFS(условия!$64:$64,условия!$8:$8,"&lt;="&amp;AE$9,условия!$9:$9,"&gt;="&amp;AE$9)*SUMIFS(условия!$Q$66:$Q$77,условия!$L$66:$L$77,MONTH(AE$9)))</f>
        <v>19500</v>
      </c>
      <c r="AF21" s="33">
        <f>IF(SUM(AG13:$EJ$13)&lt;&gt;0,0,SUMIFS(условия!$64:$64,условия!$8:$8,"&lt;="&amp;AF$9,условия!$9:$9,"&gt;="&amp;AF$9)*SUMIFS(условия!$Q$66:$Q$77,условия!$L$66:$L$77,MONTH(AF$9)))</f>
        <v>32400</v>
      </c>
      <c r="AG21" s="33">
        <f>IF(SUM(AH13:$EJ$13)&lt;&gt;0,0,SUMIFS(условия!$64:$64,условия!$8:$8,"&lt;="&amp;AG$9,условия!$9:$9,"&gt;="&amp;AG$9)*SUMIFS(условия!$Q$66:$Q$77,условия!$L$66:$L$77,MONTH(AG$9)))</f>
        <v>37800</v>
      </c>
      <c r="AH21" s="33">
        <f>IF(SUM(AI13:$EJ$13)&lt;&gt;0,0,SUMIFS(условия!$64:$64,условия!$8:$8,"&lt;="&amp;AH$9,условия!$9:$9,"&gt;="&amp;AH$9)*SUMIFS(условия!$Q$66:$Q$77,условия!$L$66:$L$77,MONTH(AH$9)))</f>
        <v>43200</v>
      </c>
      <c r="AI21" s="33">
        <f>IF(SUM(AJ13:$EJ$13)&lt;&gt;0,0,SUMIFS(условия!$64:$64,условия!$8:$8,"&lt;="&amp;AI$9,условия!$9:$9,"&gt;="&amp;AI$9)*SUMIFS(условия!$Q$66:$Q$77,условия!$L$66:$L$77,MONTH(AI$9)))</f>
        <v>43200</v>
      </c>
      <c r="AJ21" s="33">
        <f>IF(SUM(AK13:$EJ$13)&lt;&gt;0,0,SUMIFS(условия!$64:$64,условия!$8:$8,"&lt;="&amp;AJ$9,условия!$9:$9,"&gt;="&amp;AJ$9)*SUMIFS(условия!$Q$66:$Q$77,условия!$L$66:$L$77,MONTH(AJ$9)))</f>
        <v>32400</v>
      </c>
      <c r="AK21" s="33">
        <f>IF(SUM(AL13:$EJ$13)&lt;&gt;0,0,SUMIFS(условия!$64:$64,условия!$8:$8,"&lt;="&amp;AK$9,условия!$9:$9,"&gt;="&amp;AK$9)*SUMIFS(условия!$Q$66:$Q$77,условия!$L$66:$L$77,MONTH(AK$9)))</f>
        <v>27000</v>
      </c>
      <c r="AL21" s="33">
        <f>IF(SUM(AM13:$EJ$13)&lt;&gt;0,0,SUMIFS(условия!$64:$64,условия!$8:$8,"&lt;="&amp;AL$9,условия!$9:$9,"&gt;="&amp;AL$9)*SUMIFS(условия!$Q$66:$Q$77,условия!$L$66:$L$77,MONTH(AL$9)))</f>
        <v>27000</v>
      </c>
      <c r="AM21" s="33">
        <f>IF(SUM(AN13:$EJ$13)&lt;&gt;0,0,SUMIFS(условия!$64:$64,условия!$8:$8,"&lt;="&amp;AM$9,условия!$9:$9,"&gt;="&amp;AM$9)*SUMIFS(условия!$Q$66:$Q$77,условия!$L$66:$L$77,MONTH(AM$9)))</f>
        <v>32400</v>
      </c>
      <c r="AN21" s="33">
        <f>IF(SUM(AO13:$EJ$13)&lt;&gt;0,0,SUMIFS(условия!$64:$64,условия!$8:$8,"&lt;="&amp;AN$9,условия!$9:$9,"&gt;="&amp;AN$9)*SUMIFS(условия!$Q$66:$Q$77,условия!$L$66:$L$77,MONTH(AN$9)))</f>
        <v>48600</v>
      </c>
      <c r="AO21" s="33">
        <f>IF(SUM(AP13:$EJ$13)&lt;&gt;0,0,SUMIFS(условия!$64:$64,условия!$8:$8,"&lt;="&amp;AO$9,условия!$9:$9,"&gt;="&amp;AO$9)*SUMIFS(условия!$Q$66:$Q$77,условия!$L$66:$L$77,MONTH(AO$9)))</f>
        <v>64800</v>
      </c>
      <c r="AP21" s="33">
        <f>IF(SUM(AQ13:$EJ$13)&lt;&gt;0,0,SUMIFS(условия!$64:$64,условия!$8:$8,"&lt;="&amp;AP$9,условия!$9:$9,"&gt;="&amp;AP$9)*SUMIFS(условия!$Q$66:$Q$77,условия!$L$66:$L$77,MONTH(AP$9)))</f>
        <v>81000</v>
      </c>
      <c r="AQ21" s="33">
        <f>IF(SUM(AR13:$EJ$13)&lt;&gt;0,0,SUMIFS(условия!$64:$64,условия!$8:$8,"&lt;="&amp;AQ$9,условия!$9:$9,"&gt;="&amp;AQ$9)*SUMIFS(условия!$Q$66:$Q$77,условия!$L$66:$L$77,MONTH(AQ$9)))</f>
        <v>70200</v>
      </c>
      <c r="AR21" s="33">
        <f>IF(SUM(AS13:$EJ$13)&lt;&gt;0,0,SUMIFS(условия!$64:$64,условия!$8:$8,"&lt;="&amp;AR$9,условия!$9:$9,"&gt;="&amp;AR$9)*SUMIFS(условия!$Q$66:$Q$77,условия!$L$66:$L$77,MONTH(AR$9)))</f>
        <v>84000</v>
      </c>
      <c r="AS21" s="33">
        <f>IF(SUM(AT13:$EJ$13)&lt;&gt;0,0,SUMIFS(условия!$64:$64,условия!$8:$8,"&lt;="&amp;AS$9,условия!$9:$9,"&gt;="&amp;AS$9)*SUMIFS(условия!$Q$66:$Q$77,условия!$L$66:$L$77,MONTH(AS$9)))</f>
        <v>98000.000000000015</v>
      </c>
      <c r="AT21" s="33">
        <f>IF(SUM(AU13:$EJ$13)&lt;&gt;0,0,SUMIFS(условия!$64:$64,условия!$8:$8,"&lt;="&amp;AT$9,условия!$9:$9,"&gt;="&amp;AT$9)*SUMIFS(условия!$Q$66:$Q$77,условия!$L$66:$L$77,MONTH(AT$9)))</f>
        <v>112000</v>
      </c>
      <c r="AU21" s="33">
        <f>IF(SUM(AV13:$EJ$13)&lt;&gt;0,0,SUMIFS(условия!$64:$64,условия!$8:$8,"&lt;="&amp;AU$9,условия!$9:$9,"&gt;="&amp;AU$9)*SUMIFS(условия!$Q$66:$Q$77,условия!$L$66:$L$77,MONTH(AU$9)))</f>
        <v>112000</v>
      </c>
      <c r="AV21" s="33">
        <f>IF(SUM(AW13:$EJ$13)&lt;&gt;0,0,SUMIFS(условия!$64:$64,условия!$8:$8,"&lt;="&amp;AV$9,условия!$9:$9,"&gt;="&amp;AV$9)*SUMIFS(условия!$Q$66:$Q$77,условия!$L$66:$L$77,MONTH(AV$9)))</f>
        <v>84000</v>
      </c>
      <c r="AW21" s="33">
        <f>IF(SUM(AX13:$EJ$13)&lt;&gt;0,0,SUMIFS(условия!$64:$64,условия!$8:$8,"&lt;="&amp;AW$9,условия!$9:$9,"&gt;="&amp;AW$9)*SUMIFS(условия!$Q$66:$Q$77,условия!$L$66:$L$77,MONTH(AW$9)))</f>
        <v>70000</v>
      </c>
      <c r="AX21" s="33">
        <f>IF(SUM(AY13:$EJ$13)&lt;&gt;0,0,SUMIFS(условия!$64:$64,условия!$8:$8,"&lt;="&amp;AX$9,условия!$9:$9,"&gt;="&amp;AX$9)*SUMIFS(условия!$Q$66:$Q$77,условия!$L$66:$L$77,MONTH(AX$9)))</f>
        <v>70000</v>
      </c>
      <c r="AY21" s="33">
        <f>IF(SUM(AZ13:$EJ$13)&lt;&gt;0,0,SUMIFS(условия!$64:$64,условия!$8:$8,"&lt;="&amp;AY$9,условия!$9:$9,"&gt;="&amp;AY$9)*SUMIFS(условия!$Q$66:$Q$77,условия!$L$66:$L$77,MONTH(AY$9)))</f>
        <v>84000</v>
      </c>
      <c r="AZ21" s="33">
        <f>IF(SUM(BA13:$EJ$13)&lt;&gt;0,0,SUMIFS(условия!$64:$64,условия!$8:$8,"&lt;="&amp;AZ$9,условия!$9:$9,"&gt;="&amp;AZ$9)*SUMIFS(условия!$Q$66:$Q$77,условия!$L$66:$L$77,MONTH(AZ$9)))</f>
        <v>126000</v>
      </c>
      <c r="BA21" s="33">
        <f>IF(SUM(BB13:$EJ$13)&lt;&gt;0,0,SUMIFS(условия!$64:$64,условия!$8:$8,"&lt;="&amp;BA$9,условия!$9:$9,"&gt;="&amp;BA$9)*SUMIFS(условия!$Q$66:$Q$77,условия!$L$66:$L$77,MONTH(BA$9)))</f>
        <v>168000</v>
      </c>
      <c r="BB21" s="33">
        <f>IF(SUM(BC13:$EJ$13)&lt;&gt;0,0,SUMIFS(условия!$64:$64,условия!$8:$8,"&lt;="&amp;BB$9,условия!$9:$9,"&gt;="&amp;BB$9)*SUMIFS(условия!$Q$66:$Q$77,условия!$L$66:$L$77,MONTH(BB$9)))</f>
        <v>210000</v>
      </c>
      <c r="BC21" s="33">
        <f>IF(SUM(BD13:$EJ$13)&lt;&gt;0,0,SUMIFS(условия!$64:$64,условия!$8:$8,"&lt;="&amp;BC$9,условия!$9:$9,"&gt;="&amp;BC$9)*SUMIFS(условия!$Q$66:$Q$77,условия!$L$66:$L$77,MONTH(BC$9)))</f>
        <v>182000</v>
      </c>
      <c r="BD21" s="33">
        <f>IF(SUM(BE13:$EJ$13)&lt;&gt;0,0,SUMIFS(условия!$64:$64,условия!$8:$8,"&lt;="&amp;BD$9,условия!$9:$9,"&gt;="&amp;BD$9)*SUMIFS(условия!$Q$66:$Q$77,условия!$L$66:$L$77,MONTH(BD$9)))</f>
        <v>157500.00000000003</v>
      </c>
      <c r="BE21" s="33">
        <f>IF(SUM(BF13:$EJ$13)&lt;&gt;0,0,SUMIFS(условия!$64:$64,условия!$8:$8,"&lt;="&amp;BE$9,условия!$9:$9,"&gt;="&amp;BE$9)*SUMIFS(условия!$Q$66:$Q$77,условия!$L$66:$L$77,MONTH(BE$9)))</f>
        <v>183750.00000000006</v>
      </c>
      <c r="BF21" s="33">
        <f>IF(SUM(BG13:$EJ$13)&lt;&gt;0,0,SUMIFS(условия!$64:$64,условия!$8:$8,"&lt;="&amp;BF$9,условия!$9:$9,"&gt;="&amp;BF$9)*SUMIFS(условия!$Q$66:$Q$77,условия!$L$66:$L$77,MONTH(BF$9)))</f>
        <v>210000.00000000003</v>
      </c>
      <c r="BG21" s="33">
        <f>IF(SUM(BH13:$EJ$13)&lt;&gt;0,0,SUMIFS(условия!$64:$64,условия!$8:$8,"&lt;="&amp;BG$9,условия!$9:$9,"&gt;="&amp;BG$9)*SUMIFS(условия!$Q$66:$Q$77,условия!$L$66:$L$77,MONTH(BG$9)))</f>
        <v>210000.00000000003</v>
      </c>
      <c r="BH21" s="33">
        <f>IF(SUM(BI13:$EJ$13)&lt;&gt;0,0,SUMIFS(условия!$64:$64,условия!$8:$8,"&lt;="&amp;BH$9,условия!$9:$9,"&gt;="&amp;BH$9)*SUMIFS(условия!$Q$66:$Q$77,условия!$L$66:$L$77,MONTH(BH$9)))</f>
        <v>157500.00000000003</v>
      </c>
      <c r="BI21" s="33">
        <f>IF(SUM(BJ13:$EJ$13)&lt;&gt;0,0,SUMIFS(условия!$64:$64,условия!$8:$8,"&lt;="&amp;BI$9,условия!$9:$9,"&gt;="&amp;BI$9)*SUMIFS(условия!$Q$66:$Q$77,условия!$L$66:$L$77,MONTH(BI$9)))</f>
        <v>131250.00000000003</v>
      </c>
      <c r="BJ21" s="33">
        <f>IF(SUM(BK13:$EJ$13)&lt;&gt;0,0,SUMIFS(условия!$64:$64,условия!$8:$8,"&lt;="&amp;BJ$9,условия!$9:$9,"&gt;="&amp;BJ$9)*SUMIFS(условия!$Q$66:$Q$77,условия!$L$66:$L$77,MONTH(BJ$9)))</f>
        <v>131250.00000000003</v>
      </c>
      <c r="BK21" s="33">
        <f>IF(SUM(BL13:$EJ$13)&lt;&gt;0,0,SUMIFS(условия!$64:$64,условия!$8:$8,"&lt;="&amp;BK$9,условия!$9:$9,"&gt;="&amp;BK$9)*SUMIFS(условия!$Q$66:$Q$77,условия!$L$66:$L$77,MONTH(BK$9)))</f>
        <v>157500.00000000003</v>
      </c>
      <c r="BL21" s="33">
        <f>IF(SUM(BM13:$EJ$13)&lt;&gt;0,0,SUMIFS(условия!$64:$64,условия!$8:$8,"&lt;="&amp;BL$9,условия!$9:$9,"&gt;="&amp;BL$9)*SUMIFS(условия!$Q$66:$Q$77,условия!$L$66:$L$77,MONTH(BL$9)))</f>
        <v>236250.00000000003</v>
      </c>
      <c r="BM21" s="33">
        <f>IF(SUM(BN13:$EJ$13)&lt;&gt;0,0,SUMIFS(условия!$64:$64,условия!$8:$8,"&lt;="&amp;BM$9,условия!$9:$9,"&gt;="&amp;BM$9)*SUMIFS(условия!$Q$66:$Q$77,условия!$L$66:$L$77,MONTH(BM$9)))</f>
        <v>315000.00000000006</v>
      </c>
      <c r="BN21" s="33">
        <f>IF(SUM(BO13:$EJ$13)&lt;&gt;0,0,SUMIFS(условия!$64:$64,условия!$8:$8,"&lt;="&amp;BN$9,условия!$9:$9,"&gt;="&amp;BN$9)*SUMIFS(условия!$Q$66:$Q$77,условия!$L$66:$L$77,MONTH(BN$9)))</f>
        <v>393750.00000000006</v>
      </c>
      <c r="BO21" s="33">
        <f>IF(SUM(BP13:$EJ$13)&lt;&gt;0,0,SUMIFS(условия!$64:$64,условия!$8:$8,"&lt;="&amp;BO$9,условия!$9:$9,"&gt;="&amp;BO$9)*SUMIFS(условия!$Q$66:$Q$77,условия!$L$66:$L$77,MONTH(BO$9)))</f>
        <v>341250.00000000006</v>
      </c>
      <c r="BP21" s="33">
        <f>IF(SUM(BQ13:$EJ$13)&lt;&gt;0,0,SUMIFS(условия!$64:$64,условия!$8:$8,"&lt;="&amp;BP$9,условия!$9:$9,"&gt;="&amp;BP$9)*SUMIFS(условия!$Q$66:$Q$77,условия!$L$66:$L$77,MONTH(BP$9)))</f>
        <v>288000</v>
      </c>
      <c r="BQ21" s="33">
        <f>IF(SUM(BR13:$EJ$13)&lt;&gt;0,0,SUMIFS(условия!$64:$64,условия!$8:$8,"&lt;="&amp;BQ$9,условия!$9:$9,"&gt;="&amp;BQ$9)*SUMIFS(условия!$Q$66:$Q$77,условия!$L$66:$L$77,MONTH(BQ$9)))</f>
        <v>336000.00000000006</v>
      </c>
      <c r="BR21" s="33">
        <f>IF(SUM(BS13:$EJ$13)&lt;&gt;0,0,SUMIFS(условия!$64:$64,условия!$8:$8,"&lt;="&amp;BR$9,условия!$9:$9,"&gt;="&amp;BR$9)*SUMIFS(условия!$Q$66:$Q$77,условия!$L$66:$L$77,MONTH(BR$9)))</f>
        <v>384000</v>
      </c>
      <c r="BS21" s="33">
        <f>IF(SUM(BT13:$EJ$13)&lt;&gt;0,0,SUMIFS(условия!$64:$64,условия!$8:$8,"&lt;="&amp;BS$9,условия!$9:$9,"&gt;="&amp;BS$9)*SUMIFS(условия!$Q$66:$Q$77,условия!$L$66:$L$77,MONTH(BS$9)))</f>
        <v>384000</v>
      </c>
      <c r="BT21" s="33">
        <f>IF(SUM(BU13:$EJ$13)&lt;&gt;0,0,SUMIFS(условия!$64:$64,условия!$8:$8,"&lt;="&amp;BT$9,условия!$9:$9,"&gt;="&amp;BT$9)*SUMIFS(условия!$Q$66:$Q$77,условия!$L$66:$L$77,MONTH(BT$9)))</f>
        <v>288000</v>
      </c>
      <c r="BU21" s="33">
        <f>IF(SUM(BV13:$EJ$13)&lt;&gt;0,0,SUMIFS(условия!$64:$64,условия!$8:$8,"&lt;="&amp;BU$9,условия!$9:$9,"&gt;="&amp;BU$9)*SUMIFS(условия!$Q$66:$Q$77,условия!$L$66:$L$77,MONTH(BU$9)))</f>
        <v>240000</v>
      </c>
      <c r="BV21" s="33">
        <f>IF(SUM(BW13:$EJ$13)&lt;&gt;0,0,SUMIFS(условия!$64:$64,условия!$8:$8,"&lt;="&amp;BV$9,условия!$9:$9,"&gt;="&amp;BV$9)*SUMIFS(условия!$Q$66:$Q$77,условия!$L$66:$L$77,MONTH(BV$9)))</f>
        <v>240000</v>
      </c>
      <c r="BW21" s="33">
        <f>IF(SUM(BX13:$EJ$13)&lt;&gt;0,0,SUMIFS(условия!$64:$64,условия!$8:$8,"&lt;="&amp;BW$9,условия!$9:$9,"&gt;="&amp;BW$9)*SUMIFS(условия!$Q$66:$Q$77,условия!$L$66:$L$77,MONTH(BW$9)))</f>
        <v>288000</v>
      </c>
      <c r="BX21" s="33">
        <f>IF(SUM(BY13:$EJ$13)&lt;&gt;0,0,SUMIFS(условия!$64:$64,условия!$8:$8,"&lt;="&amp;BX$9,условия!$9:$9,"&gt;="&amp;BX$9)*SUMIFS(условия!$Q$66:$Q$77,условия!$L$66:$L$77,MONTH(BX$9)))</f>
        <v>432000</v>
      </c>
      <c r="BY21" s="33">
        <f>IF(SUM(BZ13:$EJ$13)&lt;&gt;0,0,SUMIFS(условия!$64:$64,условия!$8:$8,"&lt;="&amp;BY$9,условия!$9:$9,"&gt;="&amp;BY$9)*SUMIFS(условия!$Q$66:$Q$77,условия!$L$66:$L$77,MONTH(BY$9)))</f>
        <v>576000</v>
      </c>
      <c r="BZ21" s="33">
        <f>IF(SUM(CA13:$EJ$13)&lt;&gt;0,0,SUMIFS(условия!$64:$64,условия!$8:$8,"&lt;="&amp;BZ$9,условия!$9:$9,"&gt;="&amp;BZ$9)*SUMIFS(условия!$Q$66:$Q$77,условия!$L$66:$L$77,MONTH(BZ$9)))</f>
        <v>720000</v>
      </c>
      <c r="CA21" s="33">
        <f>IF(SUM(CB13:$EJ$13)&lt;&gt;0,0,SUMIFS(условия!$64:$64,условия!$8:$8,"&lt;="&amp;CA$9,условия!$9:$9,"&gt;="&amp;CA$9)*SUMIFS(условия!$Q$66:$Q$77,условия!$L$66:$L$77,MONTH(CA$9)))</f>
        <v>624000</v>
      </c>
      <c r="CB21" s="33">
        <f>IF(SUM(CC13:$EJ$13)&lt;&gt;0,0,SUMIFS(условия!$64:$64,условия!$8:$8,"&lt;="&amp;CB$9,условия!$9:$9,"&gt;="&amp;CB$9)*SUMIFS(условия!$Q$66:$Q$77,условия!$L$66:$L$77,MONTH(CB$9)))</f>
        <v>367200</v>
      </c>
      <c r="CC21" s="33">
        <f>IF(SUM(CD13:$EJ$13)&lt;&gt;0,0,SUMIFS(условия!$64:$64,условия!$8:$8,"&lt;="&amp;CC$9,условия!$9:$9,"&gt;="&amp;CC$9)*SUMIFS(условия!$Q$66:$Q$77,условия!$L$66:$L$77,MONTH(CC$9)))</f>
        <v>428400.00000000006</v>
      </c>
      <c r="CD21" s="33">
        <f>IF(SUM(CE13:$EJ$13)&lt;&gt;0,0,SUMIFS(условия!$64:$64,условия!$8:$8,"&lt;="&amp;CD$9,условия!$9:$9,"&gt;="&amp;CD$9)*SUMIFS(условия!$Q$66:$Q$77,условия!$L$66:$L$77,MONTH(CD$9)))</f>
        <v>489600</v>
      </c>
      <c r="CE21" s="33">
        <f>IF(SUM(CF13:$EJ$13)&lt;&gt;0,0,SUMIFS(условия!$64:$64,условия!$8:$8,"&lt;="&amp;CE$9,условия!$9:$9,"&gt;="&amp;CE$9)*SUMIFS(условия!$Q$66:$Q$77,условия!$L$66:$L$77,MONTH(CE$9)))</f>
        <v>489600</v>
      </c>
      <c r="CF21" s="33">
        <f>IF(SUM(CG13:$EJ$13)&lt;&gt;0,0,SUMIFS(условия!$64:$64,условия!$8:$8,"&lt;="&amp;CF$9,условия!$9:$9,"&gt;="&amp;CF$9)*SUMIFS(условия!$Q$66:$Q$77,условия!$L$66:$L$77,MONTH(CF$9)))</f>
        <v>367200</v>
      </c>
      <c r="CG21" s="33">
        <f>IF(SUM(CH13:$EJ$13)&lt;&gt;0,0,SUMIFS(условия!$64:$64,условия!$8:$8,"&lt;="&amp;CG$9,условия!$9:$9,"&gt;="&amp;CG$9)*SUMIFS(условия!$Q$66:$Q$77,условия!$L$66:$L$77,MONTH(CG$9)))</f>
        <v>306000</v>
      </c>
      <c r="CH21" s="33">
        <f>IF(SUM(CI13:$EJ$13)&lt;&gt;0,0,SUMIFS(условия!$64:$64,условия!$8:$8,"&lt;="&amp;CH$9,условия!$9:$9,"&gt;="&amp;CH$9)*SUMIFS(условия!$Q$66:$Q$77,условия!$L$66:$L$77,MONTH(CH$9)))</f>
        <v>306000</v>
      </c>
      <c r="CI21" s="33">
        <f>IF(SUM(CJ13:$EJ$13)&lt;&gt;0,0,SUMIFS(условия!$64:$64,условия!$8:$8,"&lt;="&amp;CI$9,условия!$9:$9,"&gt;="&amp;CI$9)*SUMIFS(условия!$Q$66:$Q$77,условия!$L$66:$L$77,MONTH(CI$9)))</f>
        <v>367200</v>
      </c>
      <c r="CJ21" s="33">
        <f>IF(SUM(CK13:$EJ$13)&lt;&gt;0,0,SUMIFS(условия!$64:$64,условия!$8:$8,"&lt;="&amp;CJ$9,условия!$9:$9,"&gt;="&amp;CJ$9)*SUMIFS(условия!$Q$66:$Q$77,условия!$L$66:$L$77,MONTH(CJ$9)))</f>
        <v>550800</v>
      </c>
      <c r="CK21" s="33">
        <f>IF(SUM(CL13:$EJ$13)&lt;&gt;0,0,SUMIFS(условия!$64:$64,условия!$8:$8,"&lt;="&amp;CK$9,условия!$9:$9,"&gt;="&amp;CK$9)*SUMIFS(условия!$Q$66:$Q$77,условия!$L$66:$L$77,MONTH(CK$9)))</f>
        <v>734400</v>
      </c>
      <c r="CL21" s="33">
        <f>IF(SUM(CM13:$EJ$13)&lt;&gt;0,0,SUMIFS(условия!$64:$64,условия!$8:$8,"&lt;="&amp;CL$9,условия!$9:$9,"&gt;="&amp;CL$9)*SUMIFS(условия!$Q$66:$Q$77,условия!$L$66:$L$77,MONTH(CL$9)))</f>
        <v>918000</v>
      </c>
      <c r="CM21" s="33">
        <f>IF(SUM(CN13:$EJ$13)&lt;&gt;0,0,SUMIFS(условия!$64:$64,условия!$8:$8,"&lt;="&amp;CM$9,условия!$9:$9,"&gt;="&amp;CM$9)*SUMIFS(условия!$Q$66:$Q$77,условия!$L$66:$L$77,MONTH(CM$9)))</f>
        <v>795600</v>
      </c>
      <c r="CN21" s="33">
        <f>IF(SUM(CO13:$EJ$13)&lt;&gt;0,0,SUMIFS(условия!$64:$64,условия!$8:$8,"&lt;="&amp;CN$9,условия!$9:$9,"&gt;="&amp;CN$9)*SUMIFS(условия!$Q$66:$Q$77,условия!$L$66:$L$77,MONTH(CN$9)))</f>
        <v>453600.00000000006</v>
      </c>
      <c r="CO21" s="33">
        <f>IF(SUM(CP13:$EJ$13)&lt;&gt;0,0,SUMIFS(условия!$64:$64,условия!$8:$8,"&lt;="&amp;CO$9,условия!$9:$9,"&gt;="&amp;CO$9)*SUMIFS(условия!$Q$66:$Q$77,условия!$L$66:$L$77,MONTH(CO$9)))</f>
        <v>529200.00000000012</v>
      </c>
      <c r="CP21" s="33">
        <f>IF(SUM(CQ13:$EJ$13)&lt;&gt;0,0,SUMIFS(условия!$64:$64,условия!$8:$8,"&lt;="&amp;CP$9,условия!$9:$9,"&gt;="&amp;CP$9)*SUMIFS(условия!$Q$66:$Q$77,условия!$L$66:$L$77,MONTH(CP$9)))</f>
        <v>604800.00000000012</v>
      </c>
      <c r="CQ21" s="33">
        <f>IF(SUM(CR13:$EJ$13)&lt;&gt;0,0,SUMIFS(условия!$64:$64,условия!$8:$8,"&lt;="&amp;CQ$9,условия!$9:$9,"&gt;="&amp;CQ$9)*SUMIFS(условия!$Q$66:$Q$77,условия!$L$66:$L$77,MONTH(CQ$9)))</f>
        <v>604800.00000000012</v>
      </c>
      <c r="CR21" s="33">
        <f>IF(SUM(CS13:$EJ$13)&lt;&gt;0,0,SUMIFS(условия!$64:$64,условия!$8:$8,"&lt;="&amp;CR$9,условия!$9:$9,"&gt;="&amp;CR$9)*SUMIFS(условия!$Q$66:$Q$77,условия!$L$66:$L$77,MONTH(CR$9)))</f>
        <v>453600.00000000006</v>
      </c>
      <c r="CS21" s="33">
        <f>IF(SUM(CT13:$EJ$13)&lt;&gt;0,0,SUMIFS(условия!$64:$64,условия!$8:$8,"&lt;="&amp;CS$9,условия!$9:$9,"&gt;="&amp;CS$9)*SUMIFS(условия!$Q$66:$Q$77,условия!$L$66:$L$77,MONTH(CS$9)))</f>
        <v>378000.00000000006</v>
      </c>
      <c r="CT21" s="33">
        <f>IF(SUM(CU13:$EJ$13)&lt;&gt;0,0,SUMIFS(условия!$64:$64,условия!$8:$8,"&lt;="&amp;CT$9,условия!$9:$9,"&gt;="&amp;CT$9)*SUMIFS(условия!$Q$66:$Q$77,условия!$L$66:$L$77,MONTH(CT$9)))</f>
        <v>378000.00000000006</v>
      </c>
      <c r="CU21" s="33">
        <f>IF(SUM(CV13:$EJ$13)&lt;&gt;0,0,SUMIFS(условия!$64:$64,условия!$8:$8,"&lt;="&amp;CU$9,условия!$9:$9,"&gt;="&amp;CU$9)*SUMIFS(условия!$Q$66:$Q$77,условия!$L$66:$L$77,MONTH(CU$9)))</f>
        <v>453600.00000000006</v>
      </c>
      <c r="CV21" s="33">
        <f>IF(SUM(CW13:$EJ$13)&lt;&gt;0,0,SUMIFS(условия!$64:$64,условия!$8:$8,"&lt;="&amp;CV$9,условия!$9:$9,"&gt;="&amp;CV$9)*SUMIFS(условия!$Q$66:$Q$77,условия!$L$66:$L$77,MONTH(CV$9)))</f>
        <v>680400.00000000012</v>
      </c>
      <c r="CW21" s="33">
        <f>IF(SUM(CX13:$EJ$13)&lt;&gt;0,0,SUMIFS(условия!$64:$64,условия!$8:$8,"&lt;="&amp;CW$9,условия!$9:$9,"&gt;="&amp;CW$9)*SUMIFS(условия!$Q$66:$Q$77,условия!$L$66:$L$77,MONTH(CW$9)))</f>
        <v>907200.00000000012</v>
      </c>
      <c r="CX21" s="33">
        <f>IF(SUM(CY13:$EJ$13)&lt;&gt;0,0,SUMIFS(условия!$64:$64,условия!$8:$8,"&lt;="&amp;CX$9,условия!$9:$9,"&gt;="&amp;CX$9)*SUMIFS(условия!$Q$66:$Q$77,условия!$L$66:$L$77,MONTH(CX$9)))</f>
        <v>1134000</v>
      </c>
      <c r="CY21" s="33">
        <f>IF(SUM(CZ13:$EJ$13)&lt;&gt;0,0,SUMIFS(условия!$64:$64,условия!$8:$8,"&lt;="&amp;CY$9,условия!$9:$9,"&gt;="&amp;CY$9)*SUMIFS(условия!$Q$66:$Q$77,условия!$L$66:$L$77,MONTH(CY$9)))</f>
        <v>982800.00000000012</v>
      </c>
      <c r="CZ21" s="33">
        <f>IF(SUM(DA13:$EJ$13)&lt;&gt;0,0,SUMIFS(условия!$64:$64,условия!$8:$8,"&lt;="&amp;CZ$9,условия!$9:$9,"&gt;="&amp;CZ$9)*SUMIFS(условия!$Q$66:$Q$77,условия!$L$66:$L$77,MONTH(CZ$9)))</f>
        <v>504000</v>
      </c>
      <c r="DA21" s="33">
        <f>IF(SUM(DB13:$EJ$13)&lt;&gt;0,0,SUMIFS(условия!$64:$64,условия!$8:$8,"&lt;="&amp;DA$9,условия!$9:$9,"&gt;="&amp;DA$9)*SUMIFS(условия!$Q$66:$Q$77,условия!$L$66:$L$77,MONTH(DA$9)))</f>
        <v>588000</v>
      </c>
      <c r="DB21" s="33">
        <f>IF(SUM(DC13:$EJ$13)&lt;&gt;0,0,SUMIFS(условия!$64:$64,условия!$8:$8,"&lt;="&amp;DB$9,условия!$9:$9,"&gt;="&amp;DB$9)*SUMIFS(условия!$Q$66:$Q$77,условия!$L$66:$L$77,MONTH(DB$9)))</f>
        <v>672000</v>
      </c>
      <c r="DC21" s="33">
        <f>IF(SUM(DD13:$EJ$13)&lt;&gt;0,0,SUMIFS(условия!$64:$64,условия!$8:$8,"&lt;="&amp;DC$9,условия!$9:$9,"&gt;="&amp;DC$9)*SUMIFS(условия!$Q$66:$Q$77,условия!$L$66:$L$77,MONTH(DC$9)))</f>
        <v>672000</v>
      </c>
      <c r="DD21" s="33">
        <f>IF(SUM(DE13:$EJ$13)&lt;&gt;0,0,SUMIFS(условия!$64:$64,условия!$8:$8,"&lt;="&amp;DD$9,условия!$9:$9,"&gt;="&amp;DD$9)*SUMIFS(условия!$Q$66:$Q$77,условия!$L$66:$L$77,MONTH(DD$9)))</f>
        <v>504000</v>
      </c>
      <c r="DE21" s="33">
        <f>IF(SUM(DF13:$EJ$13)&lt;&gt;0,0,SUMIFS(условия!$64:$64,условия!$8:$8,"&lt;="&amp;DE$9,условия!$9:$9,"&gt;="&amp;DE$9)*SUMIFS(условия!$Q$66:$Q$77,условия!$L$66:$L$77,MONTH(DE$9)))</f>
        <v>420000</v>
      </c>
      <c r="DF21" s="33">
        <f>IF(SUM(DG13:$EJ$13)&lt;&gt;0,0,SUMIFS(условия!$64:$64,условия!$8:$8,"&lt;="&amp;DF$9,условия!$9:$9,"&gt;="&amp;DF$9)*SUMIFS(условия!$Q$66:$Q$77,условия!$L$66:$L$77,MONTH(DF$9)))</f>
        <v>420000</v>
      </c>
      <c r="DG21" s="33">
        <f>IF(SUM(DH13:$EJ$13)&lt;&gt;0,0,SUMIFS(условия!$64:$64,условия!$8:$8,"&lt;="&amp;DG$9,условия!$9:$9,"&gt;="&amp;DG$9)*SUMIFS(условия!$Q$66:$Q$77,условия!$L$66:$L$77,MONTH(DG$9)))</f>
        <v>504000</v>
      </c>
      <c r="DH21" s="33">
        <f>IF(SUM(DI13:$EJ$13)&lt;&gt;0,0,SUMIFS(условия!$64:$64,условия!$8:$8,"&lt;="&amp;DH$9,условия!$9:$9,"&gt;="&amp;DH$9)*SUMIFS(условия!$Q$66:$Q$77,условия!$L$66:$L$77,MONTH(DH$9)))</f>
        <v>756000</v>
      </c>
      <c r="DI21" s="33">
        <f>IF(SUM(DJ13:$EJ$13)&lt;&gt;0,0,SUMIFS(условия!$64:$64,условия!$8:$8,"&lt;="&amp;DI$9,условия!$9:$9,"&gt;="&amp;DI$9)*SUMIFS(условия!$Q$66:$Q$77,условия!$L$66:$L$77,MONTH(DI$9)))</f>
        <v>1008000</v>
      </c>
      <c r="DJ21" s="33">
        <f>IF(SUM(DK13:$EJ$13)&lt;&gt;0,0,SUMIFS(условия!$64:$64,условия!$8:$8,"&lt;="&amp;DJ$9,условия!$9:$9,"&gt;="&amp;DJ$9)*SUMIFS(условия!$Q$66:$Q$77,условия!$L$66:$L$77,MONTH(DJ$9)))</f>
        <v>1260000</v>
      </c>
      <c r="DK21" s="33">
        <f>IF(SUM(DL13:$EJ$13)&lt;&gt;0,0,SUMIFS(условия!$64:$64,условия!$8:$8,"&lt;="&amp;DK$9,условия!$9:$9,"&gt;="&amp;DK$9)*SUMIFS(условия!$Q$66:$Q$77,условия!$L$66:$L$77,MONTH(DK$9)))</f>
        <v>1092000</v>
      </c>
      <c r="DL21" s="33">
        <f>IF(SUM(DM13:$EJ$13)&lt;&gt;0,0,SUMIFS(условия!$64:$64,условия!$8:$8,"&lt;="&amp;DL$9,условия!$9:$9,"&gt;="&amp;DL$9)*SUMIFS(условия!$Q$66:$Q$77,условия!$L$66:$L$77,MONTH(DL$9)))</f>
        <v>540000</v>
      </c>
      <c r="DM21" s="33">
        <f>IF(SUM(DN13:$EJ$13)&lt;&gt;0,0,SUMIFS(условия!$64:$64,условия!$8:$8,"&lt;="&amp;DM$9,условия!$9:$9,"&gt;="&amp;DM$9)*SUMIFS(условия!$Q$66:$Q$77,условия!$L$66:$L$77,MONTH(DM$9)))</f>
        <v>630000.00000000012</v>
      </c>
      <c r="DN21" s="33">
        <f>IF(SUM(DO13:$EJ$13)&lt;&gt;0,0,SUMIFS(условия!$64:$64,условия!$8:$8,"&lt;="&amp;DN$9,условия!$9:$9,"&gt;="&amp;DN$9)*SUMIFS(условия!$Q$66:$Q$77,условия!$L$66:$L$77,MONTH(DN$9)))</f>
        <v>720000</v>
      </c>
      <c r="DO21" s="33">
        <f>IF(SUM(DP13:$EJ$13)&lt;&gt;0,0,SUMIFS(условия!$64:$64,условия!$8:$8,"&lt;="&amp;DO$9,условия!$9:$9,"&gt;="&amp;DO$9)*SUMIFS(условия!$Q$66:$Q$77,условия!$L$66:$L$77,MONTH(DO$9)))</f>
        <v>720000</v>
      </c>
      <c r="DP21" s="33">
        <f>IF(SUM(DQ13:$EJ$13)&lt;&gt;0,0,SUMIFS(условия!$64:$64,условия!$8:$8,"&lt;="&amp;DP$9,условия!$9:$9,"&gt;="&amp;DP$9)*SUMIFS(условия!$Q$66:$Q$77,условия!$L$66:$L$77,MONTH(DP$9)))</f>
        <v>540000</v>
      </c>
      <c r="DQ21" s="33">
        <f>IF(SUM(DR13:$EJ$13)&lt;&gt;0,0,SUMIFS(условия!$64:$64,условия!$8:$8,"&lt;="&amp;DQ$9,условия!$9:$9,"&gt;="&amp;DQ$9)*SUMIFS(условия!$Q$66:$Q$77,условия!$L$66:$L$77,MONTH(DQ$9)))</f>
        <v>450000</v>
      </c>
      <c r="DR21" s="33">
        <f>IF(SUM(DS13:$EJ$13)&lt;&gt;0,0,SUMIFS(условия!$64:$64,условия!$8:$8,"&lt;="&amp;DR$9,условия!$9:$9,"&gt;="&amp;DR$9)*SUMIFS(условия!$Q$66:$Q$77,условия!$L$66:$L$77,MONTH(DR$9)))</f>
        <v>450000</v>
      </c>
      <c r="DS21" s="33">
        <f>IF(SUM(DT13:$EJ$13)&lt;&gt;0,0,SUMIFS(условия!$64:$64,условия!$8:$8,"&lt;="&amp;DS$9,условия!$9:$9,"&gt;="&amp;DS$9)*SUMIFS(условия!$Q$66:$Q$77,условия!$L$66:$L$77,MONTH(DS$9)))</f>
        <v>540000</v>
      </c>
      <c r="DT21" s="33">
        <f>IF(SUM(DU13:$EJ$13)&lt;&gt;0,0,SUMIFS(условия!$64:$64,условия!$8:$8,"&lt;="&amp;DT$9,условия!$9:$9,"&gt;="&amp;DT$9)*SUMIFS(условия!$Q$66:$Q$77,условия!$L$66:$L$77,MONTH(DT$9)))</f>
        <v>810000</v>
      </c>
      <c r="DU21" s="33">
        <f>IF(SUM(DV13:$EJ$13)&lt;&gt;0,0,SUMIFS(условия!$64:$64,условия!$8:$8,"&lt;="&amp;DU$9,условия!$9:$9,"&gt;="&amp;DU$9)*SUMIFS(условия!$Q$66:$Q$77,условия!$L$66:$L$77,MONTH(DU$9)))</f>
        <v>1080000</v>
      </c>
      <c r="DV21" s="33">
        <f>IF(SUM(DW13:$EJ$13)&lt;&gt;0,0,SUMIFS(условия!$64:$64,условия!$8:$8,"&lt;="&amp;DV$9,условия!$9:$9,"&gt;="&amp;DV$9)*SUMIFS(условия!$Q$66:$Q$77,условия!$L$66:$L$77,MONTH(DV$9)))</f>
        <v>1350000</v>
      </c>
      <c r="DW21" s="33">
        <f>IF(SUM(DX13:$EJ$13)&lt;&gt;0,0,SUMIFS(условия!$64:$64,условия!$8:$8,"&lt;="&amp;DW$9,условия!$9:$9,"&gt;="&amp;DW$9)*SUMIFS(условия!$Q$66:$Q$77,условия!$L$66:$L$77,MONTH(DW$9)))</f>
        <v>1170000</v>
      </c>
      <c r="DX21" s="33">
        <f>IF(SUM(DY13:$EJ$13)&lt;&gt;0,0,SUMIFS(условия!$64:$64,условия!$8:$8,"&lt;="&amp;DX$9,условия!$9:$9,"&gt;="&amp;DX$9)*SUMIFS(условия!$Q$66:$Q$77,условия!$L$66:$L$77,MONTH(DX$9)))</f>
        <v>540000</v>
      </c>
      <c r="DY21" s="33">
        <f>IF(SUM(DZ13:$EJ$13)&lt;&gt;0,0,SUMIFS(условия!$64:$64,условия!$8:$8,"&lt;="&amp;DY$9,условия!$9:$9,"&gt;="&amp;DY$9)*SUMIFS(условия!$Q$66:$Q$77,условия!$L$66:$L$77,MONTH(DY$9)))</f>
        <v>630000.00000000012</v>
      </c>
      <c r="DZ21" s="33">
        <f>IF(SUM(EA13:$EJ$13)&lt;&gt;0,0,SUMIFS(условия!$64:$64,условия!$8:$8,"&lt;="&amp;DZ$9,условия!$9:$9,"&gt;="&amp;DZ$9)*SUMIFS(условия!$Q$66:$Q$77,условия!$L$66:$L$77,MONTH(DZ$9)))</f>
        <v>720000</v>
      </c>
      <c r="EA21" s="33">
        <f>IF(SUM(EB13:$EJ$13)&lt;&gt;0,0,SUMIFS(условия!$64:$64,условия!$8:$8,"&lt;="&amp;EA$9,условия!$9:$9,"&gt;="&amp;EA$9)*SUMIFS(условия!$Q$66:$Q$77,условия!$L$66:$L$77,MONTH(EA$9)))</f>
        <v>720000</v>
      </c>
      <c r="EB21" s="33">
        <f>IF(SUM(EC13:$EJ$13)&lt;&gt;0,0,SUMIFS(условия!$64:$64,условия!$8:$8,"&lt;="&amp;EB$9,условия!$9:$9,"&gt;="&amp;EB$9)*SUMIFS(условия!$Q$66:$Q$77,условия!$L$66:$L$77,MONTH(EB$9)))</f>
        <v>540000</v>
      </c>
      <c r="EC21" s="33">
        <f>IF(SUM(ED13:$EJ$13)&lt;&gt;0,0,SUMIFS(условия!$64:$64,условия!$8:$8,"&lt;="&amp;EC$9,условия!$9:$9,"&gt;="&amp;EC$9)*SUMIFS(условия!$Q$66:$Q$77,условия!$L$66:$L$77,MONTH(EC$9)))</f>
        <v>450000</v>
      </c>
      <c r="ED21" s="33">
        <f>IF(SUM(EE13:$EJ$13)&lt;&gt;0,0,SUMIFS(условия!$64:$64,условия!$8:$8,"&lt;="&amp;ED$9,условия!$9:$9,"&gt;="&amp;ED$9)*SUMIFS(условия!$Q$66:$Q$77,условия!$L$66:$L$77,MONTH(ED$9)))</f>
        <v>450000</v>
      </c>
      <c r="EE21" s="33">
        <f>IF(SUM(EF13:$EJ$13)&lt;&gt;0,0,SUMIFS(условия!$64:$64,условия!$8:$8,"&lt;="&amp;EE$9,условия!$9:$9,"&gt;="&amp;EE$9)*SUMIFS(условия!$Q$66:$Q$77,условия!$L$66:$L$77,MONTH(EE$9)))</f>
        <v>540000</v>
      </c>
      <c r="EF21" s="33">
        <f>IF(SUM(EG13:$EJ$13)&lt;&gt;0,0,SUMIFS(условия!$64:$64,условия!$8:$8,"&lt;="&amp;EF$9,условия!$9:$9,"&gt;="&amp;EF$9)*SUMIFS(условия!$Q$66:$Q$77,условия!$L$66:$L$77,MONTH(EF$9)))</f>
        <v>810000</v>
      </c>
      <c r="EG21" s="33">
        <f>IF(SUM(EH13:$EJ$13)&lt;&gt;0,0,SUMIFS(условия!$64:$64,условия!$8:$8,"&lt;="&amp;EG$9,условия!$9:$9,"&gt;="&amp;EG$9)*SUMIFS(условия!$Q$66:$Q$77,условия!$L$66:$L$77,MONTH(EG$9)))</f>
        <v>1080000</v>
      </c>
      <c r="EH21" s="33">
        <f>IF(SUM(EI13:$EJ$13)&lt;&gt;0,0,SUMIFS(условия!$64:$64,условия!$8:$8,"&lt;="&amp;EH$9,условия!$9:$9,"&gt;="&amp;EH$9)*SUMIFS(условия!$Q$66:$Q$77,условия!$L$66:$L$77,MONTH(EH$9)))</f>
        <v>1350000</v>
      </c>
      <c r="EI21" s="33">
        <f>IF(SUM(EJ13:$EJ$13)&lt;&gt;0,0,SUMIFS(условия!$64:$64,условия!$8:$8,"&lt;="&amp;EI$9,условия!$9:$9,"&gt;="&amp;EI$9)*SUMIFS(условия!$Q$66:$Q$77,условия!$L$66:$L$77,MONTH(EI$9)))</f>
        <v>1170000</v>
      </c>
      <c r="EJ21" s="3"/>
      <c r="EK21" s="3"/>
    </row>
    <row r="22" spans="1:141" s="50" customForma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</row>
    <row r="23" spans="1:141" x14ac:dyDescent="0.25">
      <c r="A23" s="3"/>
      <c r="B23" s="3"/>
      <c r="C23" s="3"/>
      <c r="D23" s="3"/>
      <c r="E23" s="3"/>
      <c r="F23" s="10" t="str">
        <f>KPI!$F$32</f>
        <v>запасы ГП в количестве единиц продукции на конец периода</v>
      </c>
      <c r="G23" s="3"/>
      <c r="H23" s="3"/>
      <c r="I23" s="3"/>
      <c r="J23" s="5" t="str">
        <f>IF($F23="","",INDEX(KPI!$I$11:$I$275,SUMIFS(KPI!$E$11:$E$275,KPI!$F$11:$F$275,$F23)))</f>
        <v>ед. ГП</v>
      </c>
      <c r="K23" s="3"/>
      <c r="L23" s="3"/>
      <c r="M23" s="3"/>
      <c r="N23" s="3"/>
      <c r="O23" s="3"/>
      <c r="P23" s="3"/>
      <c r="Q23" s="12"/>
      <c r="R23" s="3"/>
      <c r="S23" s="3"/>
      <c r="T23" s="33">
        <f>IF(T$9="",0,IF(2*T21*SUMIFS(условия!$79:$79,условия!$8:$8,"&lt;="&amp;T$9,условия!$9:$9,"&gt;="&amp;T$9)/DAY(EOMONTH(T$9,0))-2*S23+T21&lt;0,S23-T21,IF(OR(2*T21*SUMIFS(условия!$79:$79,условия!$8:$8,"&lt;="&amp;T$9,условия!$9:$9,"&gt;="&amp;T$9)/DAY(EOMONTH(T$9,0))-S23&lt;0,DAY(EOMONTH(T$9,0))=0),0,2*T21*SUMIFS(условия!$79:$79,условия!$8:$8,"&lt;="&amp;T$9,условия!$9:$9,"&gt;="&amp;T$9)/DAY(EOMONTH(T$9,0))-S23)))</f>
        <v>0</v>
      </c>
      <c r="U23" s="33">
        <f>IF(U$9="",0,IF(2*U21*SUMIFS(условия!$79:$79,условия!$8:$8,"&lt;="&amp;U$9,условия!$9:$9,"&gt;="&amp;U$9)/DAY(EOMONTH(U$9,0))-2*T23+U21&lt;0,T23-U21,IF(OR(2*U21*SUMIFS(условия!$79:$79,условия!$8:$8,"&lt;="&amp;U$9,условия!$9:$9,"&gt;="&amp;U$9)/DAY(EOMONTH(U$9,0))-T23&lt;0,DAY(EOMONTH(U$9,0))=0),0,2*U21*SUMIFS(условия!$79:$79,условия!$8:$8,"&lt;="&amp;U$9,условия!$9:$9,"&gt;="&amp;U$9)/DAY(EOMONTH(U$9,0))-T23)))</f>
        <v>0</v>
      </c>
      <c r="V23" s="33">
        <f>IF(V$9="",0,IF(2*V21*SUMIFS(условия!$79:$79,условия!$8:$8,"&lt;="&amp;V$9,условия!$9:$9,"&gt;="&amp;V$9)/DAY(EOMONTH(V$9,0))-2*U23+V21&lt;0,U23-V21,IF(OR(2*V21*SUMIFS(условия!$79:$79,условия!$8:$8,"&lt;="&amp;V$9,условия!$9:$9,"&gt;="&amp;V$9)/DAY(EOMONTH(V$9,0))-U23&lt;0,DAY(EOMONTH(V$9,0))=0),0,2*V21*SUMIFS(условия!$79:$79,условия!$8:$8,"&lt;="&amp;V$9,условия!$9:$9,"&gt;="&amp;V$9)/DAY(EOMONTH(V$9,0))-U23)))</f>
        <v>0</v>
      </c>
      <c r="W23" s="33">
        <f>IF(W$9="",0,IF(2*W21*SUMIFS(условия!$79:$79,условия!$8:$8,"&lt;="&amp;W$9,условия!$9:$9,"&gt;="&amp;W$9)/DAY(EOMONTH(W$9,0))-2*V23+W21&lt;0,V23-W21,IF(OR(2*W21*SUMIFS(условия!$79:$79,условия!$8:$8,"&lt;="&amp;W$9,условия!$9:$9,"&gt;="&amp;W$9)/DAY(EOMONTH(W$9,0))-V23&lt;0,DAY(EOMONTH(W$9,0))=0),0,2*W21*SUMIFS(условия!$79:$79,условия!$8:$8,"&lt;="&amp;W$9,условия!$9:$9,"&gt;="&amp;W$9)/DAY(EOMONTH(W$9,0))-V23)))</f>
        <v>0</v>
      </c>
      <c r="X23" s="33">
        <f>IF(X$9="",0,IF(2*X21*SUMIFS(условия!$79:$79,условия!$8:$8,"&lt;="&amp;X$9,условия!$9:$9,"&gt;="&amp;X$9)/DAY(EOMONTH(X$9,0))-2*W23+X21&lt;0,W23-X21,IF(OR(2*X21*SUMIFS(условия!$79:$79,условия!$8:$8,"&lt;="&amp;X$9,условия!$9:$9,"&gt;="&amp;X$9)/DAY(EOMONTH(X$9,0))-W23&lt;0,DAY(EOMONTH(X$9,0))=0),0,2*X21*SUMIFS(условия!$79:$79,условия!$8:$8,"&lt;="&amp;X$9,условия!$9:$9,"&gt;="&amp;X$9)/DAY(EOMONTH(X$9,0))-W23)))</f>
        <v>17419.354838709678</v>
      </c>
      <c r="Y23" s="33">
        <f>IF(Y$9="",0,IF(2*Y21*SUMIFS(условия!$79:$79,условия!$8:$8,"&lt;="&amp;Y$9,условия!$9:$9,"&gt;="&amp;Y$9)/DAY(EOMONTH(Y$9,0))-2*X23+Y21&lt;0,X23-Y21,IF(OR(2*Y21*SUMIFS(условия!$79:$79,условия!$8:$8,"&lt;="&amp;Y$9,условия!$9:$9,"&gt;="&amp;Y$9)/DAY(EOMONTH(Y$9,0))-X23&lt;0,DAY(EOMONTH(Y$9,0))=0),0,2*Y21*SUMIFS(условия!$79:$79,условия!$8:$8,"&lt;="&amp;Y$9,условия!$9:$9,"&gt;="&amp;Y$9)/DAY(EOMONTH(Y$9,0))-X23)))</f>
        <v>9919.354838709678</v>
      </c>
      <c r="Z23" s="33">
        <f>IF(Z$9="",0,IF(2*Z21*SUMIFS(условия!$79:$79,условия!$8:$8,"&lt;="&amp;Z$9,условия!$9:$9,"&gt;="&amp;Z$9)/DAY(EOMONTH(Z$9,0))-2*Y23+Z21&lt;0,Y23-Z21,IF(OR(2*Z21*SUMIFS(условия!$79:$79,условия!$8:$8,"&lt;="&amp;Z$9,условия!$9:$9,"&gt;="&amp;Z$9)/DAY(EOMONTH(Z$9,0))-Y23&lt;0,DAY(EOMONTH(Z$9,0))=0),0,2*Z21*SUMIFS(условия!$79:$79,условия!$8:$8,"&lt;="&amp;Z$9,условия!$9:$9,"&gt;="&amp;Z$9)/DAY(EOMONTH(Z$9,0))-Y23)))</f>
        <v>4596.7741935483864</v>
      </c>
      <c r="AA23" s="33">
        <f>IF(AA$9="",0,IF(2*AA21*SUMIFS(условия!$79:$79,условия!$8:$8,"&lt;="&amp;AA$9,условия!$9:$9,"&gt;="&amp;AA$9)/DAY(EOMONTH(AA$9,0))-2*Z23+AA21&lt;0,Z23-AA21,IF(OR(2*AA21*SUMIFS(условия!$79:$79,условия!$8:$8,"&lt;="&amp;AA$9,условия!$9:$9,"&gt;="&amp;AA$9)/DAY(EOMONTH(AA$9,0))-Z23&lt;0,DAY(EOMONTH(AA$9,0))=0),0,2*AA21*SUMIFS(условия!$79:$79,условия!$8:$8,"&lt;="&amp;AA$9,условия!$9:$9,"&gt;="&amp;AA$9)/DAY(EOMONTH(AA$9,0))-Z23)))</f>
        <v>12822.580645161292</v>
      </c>
      <c r="AB23" s="33">
        <f>IF(AB$9="",0,IF(2*AB21*SUMIFS(условия!$79:$79,условия!$8:$8,"&lt;="&amp;AB$9,условия!$9:$9,"&gt;="&amp;AB$9)/DAY(EOMONTH(AB$9,0))-2*AA23+AB21&lt;0,AA23-AB21,IF(OR(2*AB21*SUMIFS(условия!$79:$79,условия!$8:$8,"&lt;="&amp;AB$9,условия!$9:$9,"&gt;="&amp;AB$9)/DAY(EOMONTH(AB$9,0))-AA23&lt;0,DAY(EOMONTH(AB$9,0))=0),0,2*AB21*SUMIFS(условия!$79:$79,условия!$8:$8,"&lt;="&amp;AB$9,условия!$9:$9,"&gt;="&amp;AB$9)/DAY(EOMONTH(AB$9,0))-AA23)))</f>
        <v>14177.419354838708</v>
      </c>
      <c r="AC23" s="33">
        <f>IF(AC$9="",0,IF(2*AC21*SUMIFS(условия!$79:$79,условия!$8:$8,"&lt;="&amp;AC$9,условия!$9:$9,"&gt;="&amp;AC$9)/DAY(EOMONTH(AC$9,0))-2*AB23+AC21&lt;0,AB23-AC21,IF(OR(2*AC21*SUMIFS(условия!$79:$79,условия!$8:$8,"&lt;="&amp;AC$9,условия!$9:$9,"&gt;="&amp;AC$9)/DAY(EOMONTH(AC$9,0))-AB23&lt;0,DAY(EOMONTH(AC$9,0))=0),0,2*AC21*SUMIFS(условия!$79:$79,условия!$8:$8,"&lt;="&amp;AC$9,условия!$9:$9,"&gt;="&amp;AC$9)/DAY(EOMONTH(AC$9,0))-AB23)))</f>
        <v>20661.290322580648</v>
      </c>
      <c r="AD23" s="33">
        <f>IF(AD$9="",0,IF(2*AD21*SUMIFS(условия!$79:$79,условия!$8:$8,"&lt;="&amp;AD$9,условия!$9:$9,"&gt;="&amp;AD$9)/DAY(EOMONTH(AD$9,0))-2*AC23+AD21&lt;0,AC23-AD21,IF(OR(2*AD21*SUMIFS(условия!$79:$79,условия!$8:$8,"&lt;="&amp;AD$9,условия!$9:$9,"&gt;="&amp;AD$9)/DAY(EOMONTH(AD$9,0))-AC23&lt;0,DAY(EOMONTH(AD$9,0))=0),0,2*AD21*SUMIFS(условия!$79:$79,условия!$8:$8,"&lt;="&amp;AD$9,условия!$9:$9,"&gt;="&amp;AD$9)/DAY(EOMONTH(AD$9,0))-AC23)))</f>
        <v>24338.709677419352</v>
      </c>
      <c r="AE23" s="33">
        <f>IF(AE$9="",0,IF(2*AE21*SUMIFS(условия!$79:$79,условия!$8:$8,"&lt;="&amp;AE$9,условия!$9:$9,"&gt;="&amp;AE$9)/DAY(EOMONTH(AE$9,0))-2*AD23+AE21&lt;0,AD23-AE21,IF(OR(2*AE21*SUMIFS(условия!$79:$79,условия!$8:$8,"&lt;="&amp;AE$9,условия!$9:$9,"&gt;="&amp;AE$9)/DAY(EOMONTH(AE$9,0))-AD23&lt;0,DAY(EOMONTH(AE$9,0))=0),0,2*AE21*SUMIFS(условия!$79:$79,условия!$8:$8,"&lt;="&amp;AE$9,условия!$9:$9,"&gt;="&amp;AE$9)/DAY(EOMONTH(AE$9,0))-AD23)))</f>
        <v>13403.225806451617</v>
      </c>
      <c r="AF23" s="33">
        <f>IF(AF$9="",0,IF(2*AF21*SUMIFS(условия!$79:$79,условия!$8:$8,"&lt;="&amp;AF$9,условия!$9:$9,"&gt;="&amp;AF$9)/DAY(EOMONTH(AF$9,0))-2*AE23+AF21&lt;0,AE23-AF21,IF(OR(2*AF21*SUMIFS(условия!$79:$79,условия!$8:$8,"&lt;="&amp;AF$9,условия!$9:$9,"&gt;="&amp;AF$9)/DAY(EOMONTH(AF$9,0))-AE23&lt;0,DAY(EOMONTH(AF$9,0))=0),0,2*AF21*SUMIFS(условия!$79:$79,условия!$8:$8,"&lt;="&amp;AF$9,условия!$9:$9,"&gt;="&amp;AF$9)/DAY(EOMONTH(AF$9,0))-AE23)))</f>
        <v>49306.451612903227</v>
      </c>
      <c r="AG23" s="33">
        <f>IF(AG$9="",0,IF(2*AG21*SUMIFS(условия!$79:$79,условия!$8:$8,"&lt;="&amp;AG$9,условия!$9:$9,"&gt;="&amp;AG$9)/DAY(EOMONTH(AG$9,0))-2*AF23+AG21&lt;0,AF23-AG21,IF(OR(2*AG21*SUMIFS(условия!$79:$79,условия!$8:$8,"&lt;="&amp;AG$9,условия!$9:$9,"&gt;="&amp;AG$9)/DAY(EOMONTH(AG$9,0))-AF23&lt;0,DAY(EOMONTH(AG$9,0))=0),0,2*AG21*SUMIFS(условия!$79:$79,условия!$8:$8,"&lt;="&amp;AG$9,условия!$9:$9,"&gt;="&amp;AG$9)/DAY(EOMONTH(AG$9,0))-AF23)))</f>
        <v>31693.548387096773</v>
      </c>
      <c r="AH23" s="33">
        <f>IF(AH$9="",0,IF(2*AH21*SUMIFS(условия!$79:$79,условия!$8:$8,"&lt;="&amp;AH$9,условия!$9:$9,"&gt;="&amp;AH$9)/DAY(EOMONTH(AH$9,0))-2*AG23+AH21&lt;0,AG23-AH21,IF(OR(2*AH21*SUMIFS(условия!$79:$79,условия!$8:$8,"&lt;="&amp;AH$9,условия!$9:$9,"&gt;="&amp;AH$9)/DAY(EOMONTH(AH$9,0))-AG23&lt;0,DAY(EOMONTH(AH$9,0))=0),0,2*AH21*SUMIFS(условия!$79:$79,условия!$8:$8,"&lt;="&amp;AH$9,условия!$9:$9,"&gt;="&amp;AH$9)/DAY(EOMONTH(AH$9,0))-AG23)))</f>
        <v>51919.354838709682</v>
      </c>
      <c r="AI23" s="33">
        <f>IF(AI$9="",0,IF(2*AI21*SUMIFS(условия!$79:$79,условия!$8:$8,"&lt;="&amp;AI$9,условия!$9:$9,"&gt;="&amp;AI$9)/DAY(EOMONTH(AI$9,0))-2*AH23+AI21&lt;0,AH23-AI21,IF(OR(2*AI21*SUMIFS(условия!$79:$79,условия!$8:$8,"&lt;="&amp;AI$9,условия!$9:$9,"&gt;="&amp;AI$9)/DAY(EOMONTH(AI$9,0))-AH23&lt;0,DAY(EOMONTH(AI$9,0))=0),0,2*AI21*SUMIFS(условия!$79:$79,условия!$8:$8,"&lt;="&amp;AI$9,условия!$9:$9,"&gt;="&amp;AI$9)/DAY(EOMONTH(AI$9,0))-AH23)))</f>
        <v>34480.645161290318</v>
      </c>
      <c r="AJ23" s="33">
        <f>IF(AJ$9="",0,IF(2*AJ21*SUMIFS(условия!$79:$79,условия!$8:$8,"&lt;="&amp;AJ$9,условия!$9:$9,"&gt;="&amp;AJ$9)/DAY(EOMONTH(AJ$9,0))-2*AI23+AJ21&lt;0,AI23-AJ21,IF(OR(2*AJ21*SUMIFS(условия!$79:$79,условия!$8:$8,"&lt;="&amp;AJ$9,условия!$9:$9,"&gt;="&amp;AJ$9)/DAY(EOMONTH(AJ$9,0))-AI23&lt;0,DAY(EOMONTH(AJ$9,0))=0),0,2*AJ21*SUMIFS(условия!$79:$79,условия!$8:$8,"&lt;="&amp;AJ$9,условия!$9:$9,"&gt;="&amp;AJ$9)/DAY(EOMONTH(AJ$9,0))-AI23)))</f>
        <v>28229.032258064522</v>
      </c>
      <c r="AK23" s="33">
        <f>IF(AK$9="",0,IF(2*AK21*SUMIFS(условия!$79:$79,условия!$8:$8,"&lt;="&amp;AK$9,условия!$9:$9,"&gt;="&amp;AK$9)/DAY(EOMONTH(AK$9,0))-2*AJ23+AK21&lt;0,AJ23-AK21,IF(OR(2*AK21*SUMIFS(условия!$79:$79,условия!$8:$8,"&lt;="&amp;AK$9,условия!$9:$9,"&gt;="&amp;AK$9)/DAY(EOMONTH(AK$9,0))-AJ23&lt;0,DAY(EOMONTH(AK$9,0))=0),0,2*AK21*SUMIFS(условия!$79:$79,условия!$8:$8,"&lt;="&amp;AK$9,условия!$9:$9,"&gt;="&amp;AK$9)/DAY(EOMONTH(AK$9,0))-AJ23)))</f>
        <v>25770.967741935478</v>
      </c>
      <c r="AL23" s="33">
        <f>IF(AL$9="",0,IF(2*AL21*SUMIFS(условия!$79:$79,условия!$8:$8,"&lt;="&amp;AL$9,условия!$9:$9,"&gt;="&amp;AL$9)/DAY(EOMONTH(AL$9,0))-2*AK23+AL21&lt;0,AK23-AL21,IF(OR(2*AL21*SUMIFS(условия!$79:$79,условия!$8:$8,"&lt;="&amp;AL$9,условия!$9:$9,"&gt;="&amp;AL$9)/DAY(EOMONTH(AL$9,0))-AK23&lt;0,DAY(EOMONTH(AL$9,0))=0),0,2*AL21*SUMIFS(условия!$79:$79,условия!$8:$8,"&lt;="&amp;AL$9,условия!$9:$9,"&gt;="&amp;AL$9)/DAY(EOMONTH(AL$9,0))-AK23)))</f>
        <v>26487.096774193553</v>
      </c>
      <c r="AM23" s="33">
        <f>IF(AM$9="",0,IF(2*AM21*SUMIFS(условия!$79:$79,условия!$8:$8,"&lt;="&amp;AM$9,условия!$9:$9,"&gt;="&amp;AM$9)/DAY(EOMONTH(AM$9,0))-2*AL23+AM21&lt;0,AL23-AM21,IF(OR(2*AM21*SUMIFS(условия!$79:$79,условия!$8:$8,"&lt;="&amp;AM$9,условия!$9:$9,"&gt;="&amp;AM$9)/DAY(EOMONTH(AM$9,0))-AL23&lt;0,DAY(EOMONTH(AM$9,0))=0),0,2*AM21*SUMIFS(условия!$79:$79,условия!$8:$8,"&lt;="&amp;AM$9,условия!$9:$9,"&gt;="&amp;AM$9)/DAY(EOMONTH(AM$9,0))-AL23)))</f>
        <v>36222.580645161288</v>
      </c>
      <c r="AN23" s="33">
        <f>IF(AN$9="",0,IF(2*AN21*SUMIFS(условия!$79:$79,условия!$8:$8,"&lt;="&amp;AN$9,условия!$9:$9,"&gt;="&amp;AN$9)/DAY(EOMONTH(AN$9,0))-2*AM23+AN21&lt;0,AM23-AN21,IF(OR(2*AN21*SUMIFS(условия!$79:$79,условия!$8:$8,"&lt;="&amp;AN$9,условия!$9:$9,"&gt;="&amp;AN$9)/DAY(EOMONTH(AN$9,0))-AM23&lt;0,DAY(EOMONTH(AN$9,0))=0),0,2*AN21*SUMIFS(условия!$79:$79,условия!$8:$8,"&lt;="&amp;AN$9,условия!$9:$9,"&gt;="&amp;AN$9)/DAY(EOMONTH(AN$9,0))-AM23)))</f>
        <v>60977.419354838712</v>
      </c>
      <c r="AO23" s="33">
        <f>IF(AO$9="",0,IF(2*AO21*SUMIFS(условия!$79:$79,условия!$8:$8,"&lt;="&amp;AO$9,условия!$9:$9,"&gt;="&amp;AO$9)/DAY(EOMONTH(AO$9,0))-2*AN23+AO21&lt;0,AN23-AO21,IF(OR(2*AO21*SUMIFS(условия!$79:$79,условия!$8:$8,"&lt;="&amp;AO$9,условия!$9:$9,"&gt;="&amp;AO$9)/DAY(EOMONTH(AO$9,0))-AN23&lt;0,DAY(EOMONTH(AO$9,0))=0),0,2*AO21*SUMIFS(условия!$79:$79,условия!$8:$8,"&lt;="&amp;AO$9,условия!$9:$9,"&gt;="&amp;AO$9)/DAY(EOMONTH(AO$9,0))-AN23)))</f>
        <v>64441.93548387097</v>
      </c>
      <c r="AP23" s="33">
        <f>IF(AP$9="",0,IF(2*AP21*SUMIFS(условия!$79:$79,условия!$8:$8,"&lt;="&amp;AP$9,условия!$9:$9,"&gt;="&amp;AP$9)/DAY(EOMONTH(AP$9,0))-2*AO23+AP21&lt;0,AO23-AP21,IF(OR(2*AP21*SUMIFS(условия!$79:$79,условия!$8:$8,"&lt;="&amp;AP$9,условия!$9:$9,"&gt;="&amp;AP$9)/DAY(EOMONTH(AP$9,0))-AO23&lt;0,DAY(EOMONTH(AP$9,0))=0),0,2*AP21*SUMIFS(условия!$79:$79,условия!$8:$8,"&lt;="&amp;AP$9,условия!$9:$9,"&gt;="&amp;AP$9)/DAY(EOMONTH(AP$9,0))-AO23)))</f>
        <v>97558.06451612903</v>
      </c>
      <c r="AQ23" s="33">
        <f>IF(AQ$9="",0,IF(2*AQ21*SUMIFS(условия!$79:$79,условия!$8:$8,"&lt;="&amp;AQ$9,условия!$9:$9,"&gt;="&amp;AQ$9)/DAY(EOMONTH(AQ$9,0))-2*AP23+AQ21&lt;0,AP23-AQ21,IF(OR(2*AQ21*SUMIFS(условия!$79:$79,условия!$8:$8,"&lt;="&amp;AQ$9,условия!$9:$9,"&gt;="&amp;AQ$9)/DAY(EOMONTH(AQ$9,0))-AP23&lt;0,DAY(EOMONTH(AQ$9,0))=0),0,2*AQ21*SUMIFS(условия!$79:$79,условия!$8:$8,"&lt;="&amp;AQ$9,условия!$9:$9,"&gt;="&amp;AQ$9)/DAY(EOMONTH(AQ$9,0))-AP23)))</f>
        <v>38312.903225806454</v>
      </c>
      <c r="AR23" s="33">
        <f>IF(AR$9="",0,IF(2*AR21*SUMIFS(условия!$79:$79,условия!$8:$8,"&lt;="&amp;AR$9,условия!$9:$9,"&gt;="&amp;AR$9)/DAY(EOMONTH(AR$9,0))-2*AQ23+AR21&lt;0,AQ23-AR21,IF(OR(2*AR21*SUMIFS(условия!$79:$79,условия!$8:$8,"&lt;="&amp;AR$9,условия!$9:$9,"&gt;="&amp;AR$9)/DAY(EOMONTH(AR$9,0))-AQ23&lt;0,DAY(EOMONTH(AR$9,0))=0),0,2*AR21*SUMIFS(условия!$79:$79,условия!$8:$8,"&lt;="&amp;AR$9,условия!$9:$9,"&gt;="&amp;AR$9)/DAY(EOMONTH(AR$9,0))-AQ23)))</f>
        <v>124267.74193548388</v>
      </c>
      <c r="AS23" s="33">
        <f>IF(AS$9="",0,IF(2*AS21*SUMIFS(условия!$79:$79,условия!$8:$8,"&lt;="&amp;AS$9,условия!$9:$9,"&gt;="&amp;AS$9)/DAY(EOMONTH(AS$9,0))-2*AR23+AS21&lt;0,AR23-AS21,IF(OR(2*AS21*SUMIFS(условия!$79:$79,условия!$8:$8,"&lt;="&amp;AS$9,условия!$9:$9,"&gt;="&amp;AS$9)/DAY(EOMONTH(AS$9,0))-AR23&lt;0,DAY(EOMONTH(AS$9,0))=0),0,2*AS21*SUMIFS(условия!$79:$79,условия!$8:$8,"&lt;="&amp;AS$9,условия!$9:$9,"&gt;="&amp;AS$9)/DAY(EOMONTH(AS$9,0))-AR23)))</f>
        <v>85732.258064516151</v>
      </c>
      <c r="AT23" s="33">
        <f>IF(AT$9="",0,IF(2*AT21*SUMIFS(условия!$79:$79,условия!$8:$8,"&lt;="&amp;AT$9,условия!$9:$9,"&gt;="&amp;AT$9)/DAY(EOMONTH(AT$9,0))-2*AS23+AT21&lt;0,AS23-AT21,IF(OR(2*AT21*SUMIFS(условия!$79:$79,условия!$8:$8,"&lt;="&amp;AT$9,условия!$9:$9,"&gt;="&amp;AT$9)/DAY(EOMONTH(AT$9,0))-AS23&lt;0,DAY(EOMONTH(AT$9,0))=0),0,2*AT21*SUMIFS(условия!$79:$79,условия!$8:$8,"&lt;="&amp;AT$9,условия!$9:$9,"&gt;="&amp;AT$9)/DAY(EOMONTH(AT$9,0))-AS23)))</f>
        <v>131041.93548387094</v>
      </c>
      <c r="AU23" s="33">
        <f>IF(AU$9="",0,IF(2*AU21*SUMIFS(условия!$79:$79,условия!$8:$8,"&lt;="&amp;AU$9,условия!$9:$9,"&gt;="&amp;AU$9)/DAY(EOMONTH(AU$9,0))-2*AT23+AU21&lt;0,AT23-AU21,IF(OR(2*AU21*SUMIFS(условия!$79:$79,условия!$8:$8,"&lt;="&amp;AU$9,условия!$9:$9,"&gt;="&amp;AU$9)/DAY(EOMONTH(AU$9,0))-AT23&lt;0,DAY(EOMONTH(AU$9,0))=0),0,2*AU21*SUMIFS(условия!$79:$79,условия!$8:$8,"&lt;="&amp;AU$9,условия!$9:$9,"&gt;="&amp;AU$9)/DAY(EOMONTH(AU$9,0))-AT23)))</f>
        <v>92958.064516129059</v>
      </c>
      <c r="AV23" s="33">
        <f>IF(AV$9="",0,IF(2*AV21*SUMIFS(условия!$79:$79,условия!$8:$8,"&lt;="&amp;AV$9,условия!$9:$9,"&gt;="&amp;AV$9)/DAY(EOMONTH(AV$9,0))-2*AU23+AV21&lt;0,AU23-AV21,IF(OR(2*AV21*SUMIFS(условия!$79:$79,условия!$8:$8,"&lt;="&amp;AV$9,условия!$9:$9,"&gt;="&amp;AV$9)/DAY(EOMONTH(AV$9,0))-AU23&lt;0,DAY(EOMONTH(AV$9,0))=0),0,2*AV21*SUMIFS(условия!$79:$79,условия!$8:$8,"&lt;="&amp;AV$9,условия!$9:$9,"&gt;="&amp;AV$9)/DAY(EOMONTH(AV$9,0))-AU23)))</f>
        <v>69622.580645161273</v>
      </c>
      <c r="AW23" s="33">
        <f>IF(AW$9="",0,IF(2*AW21*SUMIFS(условия!$79:$79,условия!$8:$8,"&lt;="&amp;AW$9,условия!$9:$9,"&gt;="&amp;AW$9)/DAY(EOMONTH(AW$9,0))-2*AV23+AW21&lt;0,AV23-AW21,IF(OR(2*AW21*SUMIFS(условия!$79:$79,условия!$8:$8,"&lt;="&amp;AW$9,условия!$9:$9,"&gt;="&amp;AW$9)/DAY(EOMONTH(AW$9,0))-AV23&lt;0,DAY(EOMONTH(AW$9,0))=0),0,2*AW21*SUMIFS(условия!$79:$79,условия!$8:$8,"&lt;="&amp;AW$9,условия!$9:$9,"&gt;="&amp;AW$9)/DAY(EOMONTH(AW$9,0))-AV23)))</f>
        <v>70377.419354838727</v>
      </c>
      <c r="AX23" s="33">
        <f>IF(AX$9="",0,IF(2*AX21*SUMIFS(условия!$79:$79,условия!$8:$8,"&lt;="&amp;AX$9,условия!$9:$9,"&gt;="&amp;AX$9)/DAY(EOMONTH(AX$9,0))-2*AW23+AX21&lt;0,AW23-AX21,IF(OR(2*AX21*SUMIFS(условия!$79:$79,условия!$8:$8,"&lt;="&amp;AX$9,условия!$9:$9,"&gt;="&amp;AX$9)/DAY(EOMONTH(AX$9,0))-AW23&lt;0,DAY(EOMONTH(AX$9,0))=0),0,2*AX21*SUMIFS(условия!$79:$79,условия!$8:$8,"&lt;="&amp;AX$9,условия!$9:$9,"&gt;="&amp;AX$9)/DAY(EOMONTH(AX$9,0))-AW23)))</f>
        <v>65106.451612903213</v>
      </c>
      <c r="AY23" s="33">
        <f>IF(AY$9="",0,IF(2*AY21*SUMIFS(условия!$79:$79,условия!$8:$8,"&lt;="&amp;AY$9,условия!$9:$9,"&gt;="&amp;AY$9)/DAY(EOMONTH(AY$9,0))-2*AX23+AY21&lt;0,AX23-AY21,IF(OR(2*AY21*SUMIFS(условия!$79:$79,условия!$8:$8,"&lt;="&amp;AY$9,условия!$9:$9,"&gt;="&amp;AY$9)/DAY(EOMONTH(AY$9,0))-AX23&lt;0,DAY(EOMONTH(AY$9,0))=0),0,2*AY21*SUMIFS(условия!$79:$79,условия!$8:$8,"&lt;="&amp;AY$9,условия!$9:$9,"&gt;="&amp;AY$9)/DAY(EOMONTH(AY$9,0))-AX23)))</f>
        <v>97474.19354838712</v>
      </c>
      <c r="AZ23" s="33">
        <f>IF(AZ$9="",0,IF(2*AZ21*SUMIFS(условия!$79:$79,условия!$8:$8,"&lt;="&amp;AZ$9,условия!$9:$9,"&gt;="&amp;AZ$9)/DAY(EOMONTH(AZ$9,0))-2*AY23+AZ21&lt;0,AY23-AZ21,IF(OR(2*AZ21*SUMIFS(условия!$79:$79,условия!$8:$8,"&lt;="&amp;AZ$9,условия!$9:$9,"&gt;="&amp;AZ$9)/DAY(EOMONTH(AZ$9,0))-AY23&lt;0,DAY(EOMONTH(AZ$9,0))=0),0,2*AZ21*SUMIFS(условия!$79:$79,условия!$8:$8,"&lt;="&amp;AZ$9,условия!$9:$9,"&gt;="&amp;AZ$9)/DAY(EOMONTH(AZ$9,0))-AY23)))</f>
        <v>154525.80645161288</v>
      </c>
      <c r="BA23" s="33">
        <f>IF(BA$9="",0,IF(2*BA21*SUMIFS(условия!$79:$79,условия!$8:$8,"&lt;="&amp;BA$9,условия!$9:$9,"&gt;="&amp;BA$9)/DAY(EOMONTH(BA$9,0))-2*AZ23+BA21&lt;0,AZ23-BA21,IF(OR(2*BA21*SUMIFS(условия!$79:$79,условия!$8:$8,"&lt;="&amp;BA$9,условия!$9:$9,"&gt;="&amp;BA$9)/DAY(EOMONTH(BA$9,0))-AZ23&lt;0,DAY(EOMONTH(BA$9,0))=0),0,2*BA21*SUMIFS(условия!$79:$79,условия!$8:$8,"&lt;="&amp;BA$9,условия!$9:$9,"&gt;="&amp;BA$9)/DAY(EOMONTH(BA$9,0))-AZ23)))</f>
        <v>170635.48387096779</v>
      </c>
      <c r="BB23" s="33">
        <f>IF(BB$9="",0,IF(2*BB21*SUMIFS(условия!$79:$79,условия!$8:$8,"&lt;="&amp;BB$9,условия!$9:$9,"&gt;="&amp;BB$9)/DAY(EOMONTH(BB$9,0))-2*BA23+BB21&lt;0,BA23-BB21,IF(OR(2*BB21*SUMIFS(условия!$79:$79,условия!$8:$8,"&lt;="&amp;BB$9,условия!$9:$9,"&gt;="&amp;BB$9)/DAY(EOMONTH(BB$9,0))-BA23&lt;0,DAY(EOMONTH(BB$9,0))=0),0,2*BB21*SUMIFS(условия!$79:$79,условия!$8:$8,"&lt;="&amp;BB$9,условия!$9:$9,"&gt;="&amp;BB$9)/DAY(EOMONTH(BB$9,0))-BA23)))</f>
        <v>249364.51612903221</v>
      </c>
      <c r="BC23" s="33">
        <f>IF(BC$9="",0,IF(2*BC21*SUMIFS(условия!$79:$79,условия!$8:$8,"&lt;="&amp;BC$9,условия!$9:$9,"&gt;="&amp;BC$9)/DAY(EOMONTH(BC$9,0))-2*BB23+BC21&lt;0,BB23-BC21,IF(OR(2*BC21*SUMIFS(условия!$79:$79,условия!$8:$8,"&lt;="&amp;BC$9,условия!$9:$9,"&gt;="&amp;BC$9)/DAY(EOMONTH(BC$9,0))-BB23&lt;0,DAY(EOMONTH(BC$9,0))=0),0,2*BC21*SUMIFS(условия!$79:$79,условия!$8:$8,"&lt;="&amp;BC$9,условия!$9:$9,"&gt;="&amp;BC$9)/DAY(EOMONTH(BC$9,0))-BB23)))</f>
        <v>102893.54838709682</v>
      </c>
      <c r="BD23" s="33">
        <f>IF(BD$9="",0,IF(2*BD21*SUMIFS(условия!$79:$79,условия!$8:$8,"&lt;="&amp;BD$9,условия!$9:$9,"&gt;="&amp;BD$9)/DAY(EOMONTH(BD$9,0))-2*BC23+BD21&lt;0,BC23-BD21,IF(OR(2*BD21*SUMIFS(условия!$79:$79,условия!$8:$8,"&lt;="&amp;BD$9,условия!$9:$9,"&gt;="&amp;BD$9)/DAY(EOMONTH(BD$9,0))-BC23&lt;0,DAY(EOMONTH(BD$9,0))=0),0,2*BD21*SUMIFS(условия!$79:$79,условия!$8:$8,"&lt;="&amp;BD$9,условия!$9:$9,"&gt;="&amp;BD$9)/DAY(EOMONTH(BD$9,0))-BC23)))</f>
        <v>201945.16129032258</v>
      </c>
      <c r="BE23" s="33">
        <f>IF(BE$9="",0,IF(2*BE21*SUMIFS(условия!$79:$79,условия!$8:$8,"&lt;="&amp;BE$9,условия!$9:$9,"&gt;="&amp;BE$9)/DAY(EOMONTH(BE$9,0))-2*BD23+BE21&lt;0,BD23-BE21,IF(OR(2*BE21*SUMIFS(условия!$79:$79,условия!$8:$8,"&lt;="&amp;BE$9,условия!$9:$9,"&gt;="&amp;BE$9)/DAY(EOMONTH(BE$9,0))-BD23&lt;0,DAY(EOMONTH(BE$9,0))=0),0,2*BE21*SUMIFS(условия!$79:$79,условия!$8:$8,"&lt;="&amp;BE$9,условия!$9:$9,"&gt;="&amp;BE$9)/DAY(EOMONTH(BE$9,0))-BD23)))</f>
        <v>178227.25250278102</v>
      </c>
      <c r="BF23" s="33">
        <f>IF(BF$9="",0,IF(2*BF21*SUMIFS(условия!$79:$79,условия!$8:$8,"&lt;="&amp;BF$9,условия!$9:$9,"&gt;="&amp;BF$9)/DAY(EOMONTH(BF$9,0))-2*BE23+BF21&lt;0,BE23-BF21,IF(OR(2*BF21*SUMIFS(условия!$79:$79,условия!$8:$8,"&lt;="&amp;BF$9,условия!$9:$9,"&gt;="&amp;BF$9)/DAY(EOMONTH(BF$9,0))-BE23&lt;0,DAY(EOMONTH(BF$9,0))=0),0,2*BF21*SUMIFS(условия!$79:$79,условия!$8:$8,"&lt;="&amp;BF$9,условия!$9:$9,"&gt;="&amp;BF$9)/DAY(EOMONTH(BF$9,0))-BE23)))</f>
        <v>228224.36040044486</v>
      </c>
      <c r="BG23" s="33">
        <f>IF(BG$9="",0,IF(2*BG21*SUMIFS(условия!$79:$79,условия!$8:$8,"&lt;="&amp;BG$9,условия!$9:$9,"&gt;="&amp;BG$9)/DAY(EOMONTH(BG$9,0))-2*BF23+BG21&lt;0,BF23-BG21,IF(OR(2*BG21*SUMIFS(условия!$79:$79,условия!$8:$8,"&lt;="&amp;BG$9,условия!$9:$9,"&gt;="&amp;BG$9)/DAY(EOMONTH(BG$9,0))-BF23&lt;0,DAY(EOMONTH(BG$9,0))=0),0,2*BG21*SUMIFS(условия!$79:$79,условия!$8:$8,"&lt;="&amp;BG$9,условия!$9:$9,"&gt;="&amp;BG$9)/DAY(EOMONTH(BG$9,0))-BF23)))</f>
        <v>191775.6395995552</v>
      </c>
      <c r="BH23" s="33">
        <f>IF(BH$9="",0,IF(2*BH21*SUMIFS(условия!$79:$79,условия!$8:$8,"&lt;="&amp;BH$9,условия!$9:$9,"&gt;="&amp;BH$9)/DAY(EOMONTH(BH$9,0))-2*BG23+BH21&lt;0,BG23-BH21,IF(OR(2*BH21*SUMIFS(условия!$79:$79,условия!$8:$8,"&lt;="&amp;BH$9,условия!$9:$9,"&gt;="&amp;BH$9)/DAY(EOMONTH(BH$9,0))-BG23&lt;0,DAY(EOMONTH(BH$9,0))=0),0,2*BH21*SUMIFS(условия!$79:$79,условия!$8:$8,"&lt;="&amp;BH$9,условия!$9:$9,"&gt;="&amp;BH$9)/DAY(EOMONTH(BH$9,0))-BG23)))</f>
        <v>113063.07007786419</v>
      </c>
      <c r="BI23" s="33">
        <f>IF(BI$9="",0,IF(2*BI21*SUMIFS(условия!$79:$79,условия!$8:$8,"&lt;="&amp;BI$9,условия!$9:$9,"&gt;="&amp;BI$9)/DAY(EOMONTH(BI$9,0))-2*BH23+BI21&lt;0,BH23-BI21,IF(OR(2*BI21*SUMIFS(условия!$79:$79,условия!$8:$8,"&lt;="&amp;BI$9,условия!$9:$9,"&gt;="&amp;BI$9)/DAY(EOMONTH(BI$9,0))-BH23&lt;0,DAY(EOMONTH(BI$9,0))=0),0,2*BI21*SUMIFS(условия!$79:$79,условия!$8:$8,"&lt;="&amp;BI$9,условия!$9:$9,"&gt;="&amp;BI$9)/DAY(EOMONTH(BI$9,0))-BH23)))</f>
        <v>149436.92992213587</v>
      </c>
      <c r="BJ23" s="33">
        <f>IF(BJ$9="",0,IF(2*BJ21*SUMIFS(условия!$79:$79,условия!$8:$8,"&lt;="&amp;BJ$9,условия!$9:$9,"&gt;="&amp;BJ$9)/DAY(EOMONTH(BJ$9,0))-2*BI23+BJ21&lt;0,BI23-BJ21,IF(OR(2*BJ21*SUMIFS(условия!$79:$79,условия!$8:$8,"&lt;="&amp;BJ$9,условия!$9:$9,"&gt;="&amp;BJ$9)/DAY(EOMONTH(BJ$9,0))-BI23&lt;0,DAY(EOMONTH(BJ$9,0))=0),0,2*BJ21*SUMIFS(условия!$79:$79,условия!$8:$8,"&lt;="&amp;BJ$9,условия!$9:$9,"&gt;="&amp;BJ$9)/DAY(EOMONTH(BJ$9,0))-BI23)))</f>
        <v>104595.32814238031</v>
      </c>
      <c r="BK23" s="33">
        <f>IF(BK$9="",0,IF(2*BK21*SUMIFS(условия!$79:$79,условия!$8:$8,"&lt;="&amp;BK$9,условия!$9:$9,"&gt;="&amp;BK$9)/DAY(EOMONTH(BK$9,0))-2*BJ23+BK21&lt;0,BJ23-BK21,IF(OR(2*BK21*SUMIFS(условия!$79:$79,условия!$8:$8,"&lt;="&amp;BK$9,условия!$9:$9,"&gt;="&amp;BK$9)/DAY(EOMONTH(BK$9,0))-BJ23&lt;0,DAY(EOMONTH(BK$9,0))=0),0,2*BK21*SUMIFS(условия!$79:$79,условия!$8:$8,"&lt;="&amp;BK$9,условия!$9:$9,"&gt;="&amp;BK$9)/DAY(EOMONTH(BK$9,0))-BJ23)))</f>
        <v>200243.38153503908</v>
      </c>
      <c r="BL23" s="33">
        <f>IF(BL$9="",0,IF(2*BL21*SUMIFS(условия!$79:$79,условия!$8:$8,"&lt;="&amp;BL$9,условия!$9:$9,"&gt;="&amp;BL$9)/DAY(EOMONTH(BL$9,0))-2*BK23+BL21&lt;0,BK23-BL21,IF(OR(2*BL21*SUMIFS(условия!$79:$79,условия!$8:$8,"&lt;="&amp;BL$9,условия!$9:$9,"&gt;="&amp;BL$9)/DAY(EOMONTH(BL$9,0))-BK23&lt;0,DAY(EOMONTH(BL$9,0))=0),0,2*BL21*SUMIFS(условия!$79:$79,условия!$8:$8,"&lt;="&amp;BL$9,условия!$9:$9,"&gt;="&amp;BL$9)/DAY(EOMONTH(BL$9,0))-BK23)))</f>
        <v>272256.61846496095</v>
      </c>
      <c r="BM23" s="33">
        <f>IF(BM$9="",0,IF(2*BM21*SUMIFS(условия!$79:$79,условия!$8:$8,"&lt;="&amp;BM$9,условия!$9:$9,"&gt;="&amp;BM$9)/DAY(EOMONTH(BM$9,0))-2*BL23+BM21&lt;0,BL23-BM21,IF(OR(2*BM21*SUMIFS(условия!$79:$79,условия!$8:$8,"&lt;="&amp;BM$9,условия!$9:$9,"&gt;="&amp;BM$9)/DAY(EOMONTH(BM$9,0))-BL23&lt;0,DAY(EOMONTH(BM$9,0))=0),0,2*BM21*SUMIFS(условия!$79:$79,условия!$8:$8,"&lt;="&amp;BM$9,условия!$9:$9,"&gt;="&amp;BM$9)/DAY(EOMONTH(BM$9,0))-BL23)))</f>
        <v>337420.80088987784</v>
      </c>
      <c r="BN23" s="33">
        <f>IF(BN$9="",0,IF(2*BN21*SUMIFS(условия!$79:$79,условия!$8:$8,"&lt;="&amp;BN$9,условия!$9:$9,"&gt;="&amp;BN$9)/DAY(EOMONTH(BN$9,0))-2*BM23+BN21&lt;0,BM23-BN21,IF(OR(2*BN21*SUMIFS(условия!$79:$79,условия!$8:$8,"&lt;="&amp;BN$9,условия!$9:$9,"&gt;="&amp;BN$9)/DAY(EOMONTH(BN$9,0))-BM23&lt;0,DAY(EOMONTH(BN$9,0))=0),0,2*BN21*SUMIFS(условия!$79:$79,условия!$8:$8,"&lt;="&amp;BN$9,условия!$9:$9,"&gt;="&amp;BN$9)/DAY(EOMONTH(BN$9,0))-BM23)))</f>
        <v>450079.19911012228</v>
      </c>
      <c r="BO23" s="33">
        <f>IF(BO$9="",0,IF(2*BO21*SUMIFS(условия!$79:$79,условия!$8:$8,"&lt;="&amp;BO$9,условия!$9:$9,"&gt;="&amp;BO$9)/DAY(EOMONTH(BO$9,0))-2*BN23+BO21&lt;0,BN23-BO21,IF(OR(2*BO21*SUMIFS(условия!$79:$79,условия!$8:$8,"&lt;="&amp;BO$9,условия!$9:$9,"&gt;="&amp;BO$9)/DAY(EOMONTH(BO$9,0))-BN23&lt;0,DAY(EOMONTH(BO$9,0))=0),0,2*BO21*SUMIFS(условия!$79:$79,условия!$8:$8,"&lt;="&amp;BO$9,условия!$9:$9,"&gt;="&amp;BO$9)/DAY(EOMONTH(BO$9,0))-BN23)))</f>
        <v>210404.67185761977</v>
      </c>
      <c r="BP23" s="33">
        <f>IF(BP$9="",0,IF(2*BP21*SUMIFS(условия!$79:$79,условия!$8:$8,"&lt;="&amp;BP$9,условия!$9:$9,"&gt;="&amp;BP$9)/DAY(EOMONTH(BP$9,0))-2*BO23+BP21&lt;0,BO23-BP21,IF(OR(2*BP21*SUMIFS(условия!$79:$79,условия!$8:$8,"&lt;="&amp;BP$9,условия!$9:$9,"&gt;="&amp;BP$9)/DAY(EOMONTH(BP$9,0))-BO23&lt;0,DAY(EOMONTH(BP$9,0))=0),0,2*BP21*SUMIFS(условия!$79:$79,условия!$8:$8,"&lt;="&amp;BP$9,условия!$9:$9,"&gt;="&amp;BP$9)/DAY(EOMONTH(BP$9,0))-BO23)))</f>
        <v>254111.45717463829</v>
      </c>
      <c r="BQ23" s="33">
        <f>IF(BQ$9="",0,IF(2*BQ21*SUMIFS(условия!$79:$79,условия!$8:$8,"&lt;="&amp;BQ$9,условия!$9:$9,"&gt;="&amp;BQ$9)/DAY(EOMONTH(BQ$9,0))-2*BP23+BQ21&lt;0,BP23-BQ21,IF(OR(2*BQ21*SUMIFS(условия!$79:$79,условия!$8:$8,"&lt;="&amp;BQ$9,условия!$9:$9,"&gt;="&amp;BQ$9)/DAY(EOMONTH(BQ$9,0))-BP23&lt;0,DAY(EOMONTH(BQ$9,0))=0),0,2*BQ21*SUMIFS(условия!$79:$79,условия!$8:$8,"&lt;="&amp;BQ$9,условия!$9:$9,"&gt;="&amp;BQ$9)/DAY(EOMONTH(BQ$9,0))-BP23)))</f>
        <v>345888.54282536183</v>
      </c>
      <c r="BR23" s="33">
        <f>IF(BR$9="",0,IF(2*BR21*SUMIFS(условия!$79:$79,условия!$8:$8,"&lt;="&amp;BR$9,условия!$9:$9,"&gt;="&amp;BR$9)/DAY(EOMONTH(BR$9,0))-2*BQ23+BR21&lt;0,BQ23-BR21,IF(OR(2*BR21*SUMIFS(условия!$79:$79,условия!$8:$8,"&lt;="&amp;BR$9,условия!$9:$9,"&gt;="&amp;BR$9)/DAY(EOMONTH(BR$9,0))-BQ23&lt;0,DAY(EOMONTH(BR$9,0))=0),0,2*BR21*SUMIFS(условия!$79:$79,условия!$8:$8,"&lt;="&amp;BR$9,условия!$9:$9,"&gt;="&amp;BR$9)/DAY(EOMONTH(BR$9,0))-BQ23)))</f>
        <v>273466.29588431562</v>
      </c>
      <c r="BS23" s="33">
        <f>IF(BS$9="",0,IF(2*BS21*SUMIFS(условия!$79:$79,условия!$8:$8,"&lt;="&amp;BS$9,условия!$9:$9,"&gt;="&amp;BS$9)/DAY(EOMONTH(BS$9,0))-2*BR23+BS21&lt;0,BR23-BS21,IF(OR(2*BS21*SUMIFS(условия!$79:$79,условия!$8:$8,"&lt;="&amp;BS$9,условия!$9:$9,"&gt;="&amp;BS$9)/DAY(EOMONTH(BS$9,0))-BR23&lt;0,DAY(EOMONTH(BS$9,0))=0),0,2*BS21*SUMIFS(условия!$79:$79,условия!$8:$8,"&lt;="&amp;BS$9,условия!$9:$9,"&gt;="&amp;BS$9)/DAY(EOMONTH(BS$9,0))-BR23)))</f>
        <v>366533.70411568438</v>
      </c>
      <c r="BT23" s="33">
        <f>IF(BT$9="",0,IF(2*BT21*SUMIFS(условия!$79:$79,условия!$8:$8,"&lt;="&amp;BT$9,условия!$9:$9,"&gt;="&amp;BT$9)/DAY(EOMONTH(BT$9,0))-2*BS23+BT21&lt;0,BS23-BT21,IF(OR(2*BT21*SUMIFS(условия!$79:$79,условия!$8:$8,"&lt;="&amp;BT$9,условия!$9:$9,"&gt;="&amp;BT$9)/DAY(EOMONTH(BT$9,0))-BS23&lt;0,DAY(EOMONTH(BT$9,0))=0),0,2*BT21*SUMIFS(условия!$79:$79,условия!$8:$8,"&lt;="&amp;BT$9,условия!$9:$9,"&gt;="&amp;BT$9)/DAY(EOMONTH(BT$9,0))-BS23)))</f>
        <v>97982.424916573684</v>
      </c>
      <c r="BU23" s="33">
        <f>IF(BU$9="",0,IF(2*BU21*SUMIFS(условия!$79:$79,условия!$8:$8,"&lt;="&amp;BU$9,условия!$9:$9,"&gt;="&amp;BU$9)/DAY(EOMONTH(BU$9,0))-2*BT23+BU21&lt;0,BT23-BU21,IF(OR(2*BU21*SUMIFS(условия!$79:$79,условия!$8:$8,"&lt;="&amp;BU$9,условия!$9:$9,"&gt;="&amp;BU$9)/DAY(EOMONTH(BU$9,0))-BT23&lt;0,DAY(EOMONTH(BU$9,0))=0),0,2*BU21*SUMIFS(условия!$79:$79,условия!$8:$8,"&lt;="&amp;BU$9,условия!$9:$9,"&gt;="&amp;BU$9)/DAY(EOMONTH(BU$9,0))-BT23)))</f>
        <v>302017.57508342632</v>
      </c>
      <c r="BV23" s="33">
        <f>IF(BV$9="",0,IF(2*BV21*SUMIFS(условия!$79:$79,условия!$8:$8,"&lt;="&amp;BV$9,условия!$9:$9,"&gt;="&amp;BV$9)/DAY(EOMONTH(BV$9,0))-2*BU23+BV21&lt;0,BU23-BV21,IF(OR(2*BV21*SUMIFS(условия!$79:$79,условия!$8:$8,"&lt;="&amp;BV$9,условия!$9:$9,"&gt;="&amp;BV$9)/DAY(EOMONTH(BV$9,0))-BU23&lt;0,DAY(EOMONTH(BV$9,0))=0),0,2*BV21*SUMIFS(условия!$79:$79,условия!$8:$8,"&lt;="&amp;BV$9,условия!$9:$9,"&gt;="&amp;BV$9)/DAY(EOMONTH(BV$9,0))-BU23)))</f>
        <v>85079.199110122048</v>
      </c>
      <c r="BW23" s="33">
        <f>IF(BW$9="",0,IF(2*BW21*SUMIFS(условия!$79:$79,условия!$8:$8,"&lt;="&amp;BW$9,условия!$9:$9,"&gt;="&amp;BW$9)/DAY(EOMONTH(BW$9,0))-2*BV23+BW21&lt;0,BV23-BW21,IF(OR(2*BW21*SUMIFS(условия!$79:$79,условия!$8:$8,"&lt;="&amp;BW$9,условия!$9:$9,"&gt;="&amp;BW$9)/DAY(EOMONTH(BW$9,0))-BV23&lt;0,DAY(EOMONTH(BW$9,0))=0),0,2*BW21*SUMIFS(условия!$79:$79,условия!$8:$8,"&lt;="&amp;BW$9,условия!$9:$9,"&gt;="&amp;BW$9)/DAY(EOMONTH(BW$9,0))-BV23)))</f>
        <v>379436.92992213601</v>
      </c>
      <c r="BX23" s="33">
        <f>IF(BX$9="",0,IF(2*BX21*SUMIFS(условия!$79:$79,условия!$8:$8,"&lt;="&amp;BX$9,условия!$9:$9,"&gt;="&amp;BX$9)/DAY(EOMONTH(BX$9,0))-2*BW23+BX21&lt;0,BW23-BX21,IF(OR(2*BX21*SUMIFS(условия!$79:$79,условия!$8:$8,"&lt;="&amp;BX$9,условия!$9:$9,"&gt;="&amp;BX$9)/DAY(EOMONTH(BX$9,0))-BW23&lt;0,DAY(EOMONTH(BX$9,0))=0),0,2*BX21*SUMIFS(условия!$79:$79,условия!$8:$8,"&lt;="&amp;BX$9,условия!$9:$9,"&gt;="&amp;BX$9)/DAY(EOMONTH(BX$9,0))-BW23)))</f>
        <v>340563.07007786399</v>
      </c>
      <c r="BY23" s="33">
        <f>IF(BY$9="",0,IF(2*BY21*SUMIFS(условия!$79:$79,условия!$8:$8,"&lt;="&amp;BY$9,условия!$9:$9,"&gt;="&amp;BY$9)/DAY(EOMONTH(BY$9,0))-2*BX23+BY21&lt;0,BX23-BY21,IF(OR(2*BY21*SUMIFS(условия!$79:$79,условия!$8:$8,"&lt;="&amp;BY$9,условия!$9:$9,"&gt;="&amp;BY$9)/DAY(EOMONTH(BY$9,0))-BX23&lt;0,DAY(EOMONTH(BY$9,0))=0),0,2*BY21*SUMIFS(условия!$79:$79,условия!$8:$8,"&lt;="&amp;BY$9,условия!$9:$9,"&gt;="&amp;BY$9)/DAY(EOMONTH(BY$9,0))-BX23)))</f>
        <v>588469.18798665213</v>
      </c>
      <c r="BZ23" s="33">
        <f>IF(BZ$9="",0,IF(2*BZ21*SUMIFS(условия!$79:$79,условия!$8:$8,"&lt;="&amp;BZ$9,условия!$9:$9,"&gt;="&amp;BZ$9)/DAY(EOMONTH(BZ$9,0))-2*BY23+BZ21&lt;0,BY23-BZ21,IF(OR(2*BZ21*SUMIFS(условия!$79:$79,условия!$8:$8,"&lt;="&amp;BZ$9,условия!$9:$9,"&gt;="&amp;BZ$9)/DAY(EOMONTH(BZ$9,0))-BY23&lt;0,DAY(EOMONTH(BZ$9,0))=0),0,2*BZ21*SUMIFS(условия!$79:$79,условия!$8:$8,"&lt;="&amp;BZ$9,условия!$9:$9,"&gt;="&amp;BZ$9)/DAY(EOMONTH(BZ$9,0))-BY23)))</f>
        <v>611530.81201334787</v>
      </c>
      <c r="CA23" s="33">
        <f>IF(CA$9="",0,IF(2*CA21*SUMIFS(условия!$79:$79,условия!$8:$8,"&lt;="&amp;CA$9,условия!$9:$9,"&gt;="&amp;CA$9)/DAY(EOMONTH(CA$9,0))-2*BZ23+CA21&lt;0,BZ23-CA21,IF(OR(2*CA21*SUMIFS(условия!$79:$79,условия!$8:$8,"&lt;="&amp;CA$9,условия!$9:$9,"&gt;="&amp;CA$9)/DAY(EOMONTH(CA$9,0))-BZ23&lt;0,DAY(EOMONTH(CA$9,0))=0),0,2*CA21*SUMIFS(условия!$79:$79,условия!$8:$8,"&lt;="&amp;CA$9,условия!$9:$9,"&gt;="&amp;CA$9)/DAY(EOMONTH(CA$9,0))-BZ23)))</f>
        <v>394920.80088987795</v>
      </c>
      <c r="CB23" s="33">
        <f>IF(CB$9="",0,IF(2*CB21*SUMIFS(условия!$79:$79,условия!$8:$8,"&lt;="&amp;CB$9,условия!$9:$9,"&gt;="&amp;CB$9)/DAY(EOMONTH(CB$9,0))-2*CA23+CB21&lt;0,CA23-CB21,IF(OR(2*CB21*SUMIFS(условия!$79:$79,условия!$8:$8,"&lt;="&amp;CB$9,условия!$9:$9,"&gt;="&amp;CB$9)/DAY(EOMONTH(CB$9,0))-CA23&lt;0,DAY(EOMONTH(CB$9,0))=0),0,2*CB21*SUMIFS(условия!$79:$79,условия!$8:$8,"&lt;="&amp;CB$9,условия!$9:$9,"&gt;="&amp;CB$9)/DAY(EOMONTH(CB$9,0))-CA23)))</f>
        <v>197337.26362625114</v>
      </c>
      <c r="CC23" s="33">
        <f>IF(CC$9="",0,IF(2*CC21*SUMIFS(условия!$79:$79,условия!$8:$8,"&lt;="&amp;CC$9,условия!$9:$9,"&gt;="&amp;CC$9)/DAY(EOMONTH(CC$9,0))-2*CB23+CC21&lt;0,CB23-CC21,IF(OR(2*CC21*SUMIFS(условия!$79:$79,условия!$8:$8,"&lt;="&amp;CC$9,условия!$9:$9,"&gt;="&amp;CC$9)/DAY(EOMONTH(CC$9,0))-CB23&lt;0,DAY(EOMONTH(CC$9,0))=0),0,2*CC21*SUMIFS(условия!$79:$79,условия!$8:$8,"&lt;="&amp;CC$9,условия!$9:$9,"&gt;="&amp;CC$9)/DAY(EOMONTH(CC$9,0))-CB23)))</f>
        <v>567662.73637374898</v>
      </c>
      <c r="CD23" s="33">
        <f>IF(CD$9="",0,IF(2*CD21*SUMIFS(условия!$79:$79,условия!$8:$8,"&lt;="&amp;CD$9,условия!$9:$9,"&gt;="&amp;CD$9)/DAY(EOMONTH(CD$9,0))-2*CC23+CD21&lt;0,CC23-CD21,IF(OR(2*CD21*SUMIFS(условия!$79:$79,условия!$8:$8,"&lt;="&amp;CD$9,условия!$9:$9,"&gt;="&amp;CD$9)/DAY(EOMONTH(CD$9,0))-CC23&lt;0,DAY(EOMONTH(CD$9,0))=0),0,2*CD21*SUMIFS(условия!$79:$79,условия!$8:$8,"&lt;="&amp;CD$9,условия!$9:$9,"&gt;="&amp;CD$9)/DAY(EOMONTH(CD$9,0))-CC23)))</f>
        <v>222014.68298108969</v>
      </c>
      <c r="CE23" s="33">
        <f>IF(CE$9="",0,IF(2*CE21*SUMIFS(условия!$79:$79,условия!$8:$8,"&lt;="&amp;CE$9,условия!$9:$9,"&gt;="&amp;CE$9)/DAY(EOMONTH(CE$9,0))-2*CD23+CE21&lt;0,CD23-CE21,IF(OR(2*CE21*SUMIFS(условия!$79:$79,условия!$8:$8,"&lt;="&amp;CE$9,условия!$9:$9,"&gt;="&amp;CE$9)/DAY(EOMONTH(CE$9,0))-CD23&lt;0,DAY(EOMONTH(CE$9,0))=0),0,2*CE21*SUMIFS(условия!$79:$79,условия!$8:$8,"&lt;="&amp;CE$9,условия!$9:$9,"&gt;="&amp;CE$9)/DAY(EOMONTH(CE$9,0))-CD23)))</f>
        <v>593985.31701891031</v>
      </c>
      <c r="CF23" s="33">
        <f>IF(CF$9="",0,IF(2*CF21*SUMIFS(условия!$79:$79,условия!$8:$8,"&lt;="&amp;CF$9,условия!$9:$9,"&gt;="&amp;CF$9)/DAY(EOMONTH(CF$9,0))-2*CE23+CF21&lt;0,CE23-CF21,IF(OR(2*CF21*SUMIFS(условия!$79:$79,условия!$8:$8,"&lt;="&amp;CF$9,условия!$9:$9,"&gt;="&amp;CF$9)/DAY(EOMONTH(CF$9,0))-CE23&lt;0,DAY(EOMONTH(CF$9,0))=0),0,2*CF21*SUMIFS(условия!$79:$79,условия!$8:$8,"&lt;="&amp;CF$9,условия!$9:$9,"&gt;="&amp;CF$9)/DAY(EOMONTH(CF$9,0))-CE23)))</f>
        <v>226785.31701891031</v>
      </c>
      <c r="CG23" s="33">
        <f>IF(CG$9="",0,IF(2*CG21*SUMIFS(условия!$79:$79,условия!$8:$8,"&lt;="&amp;CG$9,условия!$9:$9,"&gt;="&amp;CG$9)/DAY(EOMONTH(CG$9,0))-2*CF23+CG21&lt;0,CF23-CG21,IF(OR(2*CG21*SUMIFS(условия!$79:$79,условия!$8:$8,"&lt;="&amp;CG$9,условия!$9:$9,"&gt;="&amp;CG$9)/DAY(EOMONTH(CG$9,0))-CF23&lt;0,DAY(EOMONTH(CG$9,0))=0),0,2*CG21*SUMIFS(условия!$79:$79,условия!$8:$8,"&lt;="&amp;CG$9,условия!$9:$9,"&gt;="&amp;CG$9)/DAY(EOMONTH(CG$9,0))-CF23)))</f>
        <v>283214.68298108969</v>
      </c>
      <c r="CH23" s="33">
        <f>IF(CH$9="",0,IF(2*CH21*SUMIFS(условия!$79:$79,условия!$8:$8,"&lt;="&amp;CH$9,условия!$9:$9,"&gt;="&amp;CH$9)/DAY(EOMONTH(CH$9,0))-2*CG23+CH21&lt;0,CG23-CH21,IF(OR(2*CH21*SUMIFS(условия!$79:$79,условия!$8:$8,"&lt;="&amp;CH$9,условия!$9:$9,"&gt;="&amp;CH$9)/DAY(EOMONTH(CH$9,0))-CG23&lt;0,DAY(EOMONTH(CH$9,0))=0),0,2*CH21*SUMIFS(условия!$79:$79,условия!$8:$8,"&lt;="&amp;CH$9,условия!$9:$9,"&gt;="&amp;CH$9)/DAY(EOMONTH(CH$9,0))-CG23)))</f>
        <v>210333.70411568449</v>
      </c>
      <c r="CI23" s="33">
        <f>IF(CI$9="",0,IF(2*CI21*SUMIFS(условия!$79:$79,условия!$8:$8,"&lt;="&amp;CI$9,условия!$9:$9,"&gt;="&amp;CI$9)/DAY(EOMONTH(CI$9,0))-2*CH23+CI21&lt;0,CH23-CI21,IF(OR(2*CI21*SUMIFS(условия!$79:$79,условия!$8:$8,"&lt;="&amp;CI$9,условия!$9:$9,"&gt;="&amp;CI$9)/DAY(EOMONTH(CI$9,0))-CH23&lt;0,DAY(EOMONTH(CI$9,0))=0),0,2*CI21*SUMIFS(условия!$79:$79,условия!$8:$8,"&lt;="&amp;CI$9,условия!$9:$9,"&gt;="&amp;CI$9)/DAY(EOMONTH(CI$9,0))-CH23)))</f>
        <v>381924.3604004446</v>
      </c>
      <c r="CJ23" s="33">
        <f>IF(CJ$9="",0,IF(2*CJ21*SUMIFS(условия!$79:$79,условия!$8:$8,"&lt;="&amp;CJ$9,условия!$9:$9,"&gt;="&amp;CJ$9)/DAY(EOMONTH(CJ$9,0))-2*CI23+CJ21&lt;0,CI23-CJ21,IF(OR(2*CJ21*SUMIFS(условия!$79:$79,условия!$8:$8,"&lt;="&amp;CJ$9,условия!$9:$9,"&gt;="&amp;CJ$9)/DAY(EOMONTH(CJ$9,0))-CI23&lt;0,DAY(EOMONTH(CJ$9,0))=0),0,2*CJ21*SUMIFS(условия!$79:$79,условия!$8:$8,"&lt;="&amp;CJ$9,условия!$9:$9,"&gt;="&amp;CJ$9)/DAY(EOMONTH(CJ$9,0))-CI23)))</f>
        <v>536075.6395995554</v>
      </c>
      <c r="CK23" s="33">
        <f>IF(CK$9="",0,IF(2*CK21*SUMIFS(условия!$79:$79,условия!$8:$8,"&lt;="&amp;CK$9,условия!$9:$9,"&gt;="&amp;CK$9)/DAY(EOMONTH(CK$9,0))-2*CJ23+CK21&lt;0,CJ23-CK21,IF(OR(2*CK21*SUMIFS(условия!$79:$79,условия!$8:$8,"&lt;="&amp;CK$9,условия!$9:$9,"&gt;="&amp;CK$9)/DAY(EOMONTH(CK$9,0))-CJ23&lt;0,DAY(EOMONTH(CK$9,0))=0),0,2*CK21*SUMIFS(условия!$79:$79,условия!$8:$8,"&lt;="&amp;CK$9,условия!$9:$9,"&gt;="&amp;CK$9)/DAY(EOMONTH(CK$9,0))-CJ23)))</f>
        <v>648440.48943270277</v>
      </c>
      <c r="CL23" s="33">
        <f>IF(CL$9="",0,IF(2*CL21*SUMIFS(условия!$79:$79,условия!$8:$8,"&lt;="&amp;CL$9,условия!$9:$9,"&gt;="&amp;CL$9)/DAY(EOMONTH(CL$9,0))-2*CK23+CL21&lt;0,CK23-CL21,IF(OR(2*CL21*SUMIFS(условия!$79:$79,условия!$8:$8,"&lt;="&amp;CL$9,условия!$9:$9,"&gt;="&amp;CL$9)/DAY(EOMONTH(CL$9,0))-CK23&lt;0,DAY(EOMONTH(CL$9,0))=0),0,2*CL21*SUMIFS(условия!$79:$79,условия!$8:$8,"&lt;="&amp;CL$9,условия!$9:$9,"&gt;="&amp;CL$9)/DAY(EOMONTH(CL$9,0))-CK23)))</f>
        <v>881559.51056729723</v>
      </c>
      <c r="CM23" s="33">
        <f>IF(CM$9="",0,IF(2*CM21*SUMIFS(условия!$79:$79,условия!$8:$8,"&lt;="&amp;CM$9,условия!$9:$9,"&gt;="&amp;CM$9)/DAY(EOMONTH(CM$9,0))-2*CL23+CM21&lt;0,CL23-CM21,IF(OR(2*CM21*SUMIFS(условия!$79:$79,условия!$8:$8,"&lt;="&amp;CM$9,условия!$9:$9,"&gt;="&amp;CM$9)/DAY(EOMONTH(CM$9,0))-CL23&lt;0,DAY(EOMONTH(CM$9,0))=0),0,2*CM21*SUMIFS(условия!$79:$79,условия!$8:$8,"&lt;="&amp;CM$9,условия!$9:$9,"&gt;="&amp;CM$9)/DAY(EOMONTH(CM$9,0))-CL23)))</f>
        <v>401666.29588431562</v>
      </c>
      <c r="CN23" s="33">
        <f>IF(CN$9="",0,IF(2*CN21*SUMIFS(условия!$79:$79,условия!$8:$8,"&lt;="&amp;CN$9,условия!$9:$9,"&gt;="&amp;CN$9)/DAY(EOMONTH(CN$9,0))-2*CM23+CN21&lt;0,CM23-CN21,IF(OR(2*CN21*SUMIFS(условия!$79:$79,условия!$8:$8,"&lt;="&amp;CN$9,условия!$9:$9,"&gt;="&amp;CN$9)/DAY(EOMONTH(CN$9,0))-CM23&lt;0,DAY(EOMONTH(CN$9,0))=0),0,2*CN21*SUMIFS(условия!$79:$79,условия!$8:$8,"&lt;="&amp;CN$9,условия!$9:$9,"&gt;="&amp;CN$9)/DAY(EOMONTH(CN$9,0))-CM23)))</f>
        <v>329946.60734149092</v>
      </c>
      <c r="CO23" s="33">
        <f>IF(CO$9="",0,IF(2*CO21*SUMIFS(условия!$79:$79,условия!$8:$8,"&lt;="&amp;CO$9,условия!$9:$9,"&gt;="&amp;CO$9)/DAY(EOMONTH(CO$9,0))-2*CN23+CO21&lt;0,CN23-CO21,IF(OR(2*CO21*SUMIFS(условия!$79:$79,условия!$8:$8,"&lt;="&amp;CO$9,условия!$9:$9,"&gt;="&amp;CO$9)/DAY(EOMONTH(CO$9,0))-CN23&lt;0,DAY(EOMONTH(CO$9,0))=0),0,2*CO21*SUMIFS(условия!$79:$79,условия!$8:$8,"&lt;="&amp;CO$9,условия!$9:$9,"&gt;="&amp;CO$9)/DAY(EOMONTH(CO$9,0))-CN23)))</f>
        <v>615053.39265850931</v>
      </c>
      <c r="CP23" s="33">
        <f>IF(CP$9="",0,IF(2*CP21*SUMIFS(условия!$79:$79,условия!$8:$8,"&lt;="&amp;CP$9,условия!$9:$9,"&gt;="&amp;CP$9)/DAY(EOMONTH(CP$9,0))-2*CO23+CP21&lt;0,CO23-CP21,IF(OR(2*CP21*SUMIFS(условия!$79:$79,условия!$8:$8,"&lt;="&amp;CP$9,условия!$9:$9,"&gt;="&amp;CP$9)/DAY(EOMONTH(CP$9,0))-CO23&lt;0,DAY(EOMONTH(CP$9,0))=0),0,2*CP21*SUMIFS(условия!$79:$79,условия!$8:$8,"&lt;="&amp;CP$9,условия!$9:$9,"&gt;="&amp;CP$9)/DAY(EOMONTH(CP$9,0))-CO23)))</f>
        <v>360430.47830923286</v>
      </c>
      <c r="CQ23" s="33">
        <f>IF(CQ$9="",0,IF(2*CQ21*SUMIFS(условия!$79:$79,условия!$8:$8,"&lt;="&amp;CQ$9,условия!$9:$9,"&gt;="&amp;CQ$9)/DAY(EOMONTH(CQ$9,0))-2*CP23+CQ21&lt;0,CP23-CQ21,IF(OR(2*CQ21*SUMIFS(условия!$79:$79,условия!$8:$8,"&lt;="&amp;CQ$9,условия!$9:$9,"&gt;="&amp;CQ$9)/DAY(EOMONTH(CQ$9,0))-CP23&lt;0,DAY(EOMONTH(CQ$9,0))=0),0,2*CQ21*SUMIFS(условия!$79:$79,условия!$8:$8,"&lt;="&amp;CQ$9,условия!$9:$9,"&gt;="&amp;CQ$9)/DAY(EOMONTH(CQ$9,0))-CP23)))</f>
        <v>647569.52169076737</v>
      </c>
      <c r="CR23" s="33">
        <f>IF(CR$9="",0,IF(2*CR21*SUMIFS(условия!$79:$79,условия!$8:$8,"&lt;="&amp;CR$9,условия!$9:$9,"&gt;="&amp;CR$9)/DAY(EOMONTH(CR$9,0))-2*CQ23+CR21&lt;0,CQ23-CR21,IF(OR(2*CR21*SUMIFS(условия!$79:$79,условия!$8:$8,"&lt;="&amp;CR$9,условия!$9:$9,"&gt;="&amp;CR$9)/DAY(EOMONTH(CR$9,0))-CQ23&lt;0,DAY(EOMONTH(CR$9,0))=0),0,2*CR21*SUMIFS(условия!$79:$79,условия!$8:$8,"&lt;="&amp;CR$9,условия!$9:$9,"&gt;="&amp;CR$9)/DAY(EOMONTH(CR$9,0))-CQ23)))</f>
        <v>193969.52169076732</v>
      </c>
      <c r="CS23" s="33">
        <f>IF(CS$9="",0,IF(2*CS21*SUMIFS(условия!$79:$79,условия!$8:$8,"&lt;="&amp;CS$9,условия!$9:$9,"&gt;="&amp;CS$9)/DAY(EOMONTH(CS$9,0))-2*CR23+CS21&lt;0,CR23-CS21,IF(OR(2*CS21*SUMIFS(условия!$79:$79,условия!$8:$8,"&lt;="&amp;CS$9,условия!$9:$9,"&gt;="&amp;CS$9)/DAY(EOMONTH(CS$9,0))-CR23&lt;0,DAY(EOMONTH(CS$9,0))=0),0,2*CS21*SUMIFS(условия!$79:$79,условия!$8:$8,"&lt;="&amp;CS$9,условия!$9:$9,"&gt;="&amp;CS$9)/DAY(EOMONTH(CS$9,0))-CR23)))</f>
        <v>436030.4783092328</v>
      </c>
      <c r="CT23" s="33">
        <f>IF(CT$9="",0,IF(2*CT21*SUMIFS(условия!$79:$79,условия!$8:$8,"&lt;="&amp;CT$9,условия!$9:$9,"&gt;="&amp;CT$9)/DAY(EOMONTH(CT$9,0))-2*CS23+CT21&lt;0,CS23-CT21,IF(OR(2*CT21*SUMIFS(условия!$79:$79,условия!$8:$8,"&lt;="&amp;CT$9,условия!$9:$9,"&gt;="&amp;CT$9)/DAY(EOMONTH(CT$9,0))-CS23&lt;0,DAY(EOMONTH(CT$9,0))=0),0,2*CT21*SUMIFS(условия!$79:$79,условия!$8:$8,"&lt;="&amp;CT$9,условия!$9:$9,"&gt;="&amp;CT$9)/DAY(EOMONTH(CT$9,0))-CS23)))</f>
        <v>173646.94104560598</v>
      </c>
      <c r="CU23" s="33">
        <f>IF(CU$9="",0,IF(2*CU21*SUMIFS(условия!$79:$79,условия!$8:$8,"&lt;="&amp;CU$9,условия!$9:$9,"&gt;="&amp;CU$9)/DAY(EOMONTH(CU$9,0))-2*CT23+CU21&lt;0,CT23-CU21,IF(OR(2*CU21*SUMIFS(условия!$79:$79,условия!$8:$8,"&lt;="&amp;CU$9,условия!$9:$9,"&gt;="&amp;CU$9)/DAY(EOMONTH(CU$9,0))-CT23&lt;0,DAY(EOMONTH(CU$9,0))=0),0,2*CU21*SUMIFS(условия!$79:$79,условия!$8:$8,"&lt;="&amp;CU$9,условия!$9:$9,"&gt;="&amp;CU$9)/DAY(EOMONTH(CU$9,0))-CT23)))</f>
        <v>557965.9621802005</v>
      </c>
      <c r="CV23" s="33">
        <f>IF(CV$9="",0,IF(2*CV21*SUMIFS(условия!$79:$79,условия!$8:$8,"&lt;="&amp;CV$9,условия!$9:$9,"&gt;="&amp;CV$9)/DAY(EOMONTH(CV$9,0))-2*CU23+CV21&lt;0,CU23-CV21,IF(OR(2*CV21*SUMIFS(условия!$79:$79,условия!$8:$8,"&lt;="&amp;CV$9,условия!$9:$9,"&gt;="&amp;CV$9)/DAY(EOMONTH(CV$9,0))-CU23&lt;0,DAY(EOMONTH(CV$9,0))=0),0,2*CV21*SUMIFS(условия!$79:$79,условия!$8:$8,"&lt;="&amp;CV$9,условия!$9:$9,"&gt;="&amp;CV$9)/DAY(EOMONTH(CV$9,0))-CU23)))</f>
        <v>576034.03781979973</v>
      </c>
      <c r="CW23" s="33">
        <f>IF(CW$9="",0,IF(2*CW21*SUMIFS(условия!$79:$79,условия!$8:$8,"&lt;="&amp;CW$9,условия!$9:$9,"&gt;="&amp;CW$9)/DAY(EOMONTH(CW$9,0))-2*CV23+CW21&lt;0,CV23-CW21,IF(OR(2*CW21*SUMIFS(условия!$79:$79,условия!$8:$8,"&lt;="&amp;CW$9,условия!$9:$9,"&gt;="&amp;CW$9)/DAY(EOMONTH(CW$9,0))-CV23&lt;0,DAY(EOMONTH(CW$9,0))=0),0,2*CW21*SUMIFS(условия!$79:$79,условия!$8:$8,"&lt;="&amp;CW$9,условия!$9:$9,"&gt;="&amp;CW$9)/DAY(EOMONTH(CW$9,0))-CV23)))</f>
        <v>887191.76863181335</v>
      </c>
      <c r="CX23" s="33">
        <f>IF(CX$9="",0,IF(2*CX21*SUMIFS(условия!$79:$79,условия!$8:$8,"&lt;="&amp;CX$9,условия!$9:$9,"&gt;="&amp;CX$9)/DAY(EOMONTH(CX$9,0))-2*CW23+CX21&lt;0,CW23-CX21,IF(OR(2*CX21*SUMIFS(условия!$79:$79,условия!$8:$8,"&lt;="&amp;CX$9,условия!$9:$9,"&gt;="&amp;CX$9)/DAY(EOMONTH(CX$9,0))-CW23&lt;0,DAY(EOMONTH(CX$9,0))=0),0,2*CX21*SUMIFS(условия!$79:$79,условия!$8:$8,"&lt;="&amp;CX$9,условия!$9:$9,"&gt;="&amp;CX$9)/DAY(EOMONTH(CX$9,0))-CW23)))</f>
        <v>1002808.2313681867</v>
      </c>
      <c r="CY23" s="33">
        <f>IF(CY$9="",0,IF(2*CY21*SUMIFS(условия!$79:$79,условия!$8:$8,"&lt;="&amp;CY$9,условия!$9:$9,"&gt;="&amp;CY$9)/DAY(EOMONTH(CY$9,0))-2*CX23+CY21&lt;0,CX23-CY21,IF(OR(2*CY21*SUMIFS(условия!$79:$79,условия!$8:$8,"&lt;="&amp;CY$9,условия!$9:$9,"&gt;="&amp;CY$9)/DAY(EOMONTH(CY$9,0))-CX23&lt;0,DAY(EOMONTH(CY$9,0))=0),0,2*CY21*SUMIFS(условия!$79:$79,условия!$8:$8,"&lt;="&amp;CY$9,условия!$9:$9,"&gt;="&amp;CY$9)/DAY(EOMONTH(CY$9,0))-CX23)))</f>
        <v>582353.05895439419</v>
      </c>
      <c r="CZ23" s="33">
        <f>IF(CZ$9="",0,IF(2*CZ21*SUMIFS(условия!$79:$79,условия!$8:$8,"&lt;="&amp;CZ$9,условия!$9:$9,"&gt;="&amp;CZ$9)/DAY(EOMONTH(CZ$9,0))-2*CY23+CZ21&lt;0,CY23-CZ21,IF(OR(2*CZ21*SUMIFS(условия!$79:$79,условия!$8:$8,"&lt;="&amp;CZ$9,условия!$9:$9,"&gt;="&amp;CZ$9)/DAY(EOMONTH(CZ$9,0))-CY23&lt;0,DAY(EOMONTH(CZ$9,0))=0),0,2*CZ21*SUMIFS(условия!$79:$79,условия!$8:$8,"&lt;="&amp;CZ$9,условия!$9:$9,"&gt;="&amp;CZ$9)/DAY(EOMONTH(CZ$9,0))-CY23)))</f>
        <v>78353.05895439419</v>
      </c>
      <c r="DA23" s="33">
        <f>IF(DA$9="",0,IF(2*DA21*SUMIFS(условия!$79:$79,условия!$8:$8,"&lt;="&amp;DA$9,условия!$9:$9,"&gt;="&amp;DA$9)/DAY(EOMONTH(DA$9,0))-2*CZ23+DA21&lt;0,CZ23-DA21,IF(OR(2*DA21*SUMIFS(условия!$79:$79,условия!$8:$8,"&lt;="&amp;DA$9,условия!$9:$9,"&gt;="&amp;DA$9)/DAY(EOMONTH(DA$9,0))-CZ23&lt;0,DAY(EOMONTH(DA$9,0))=0),0,2*DA21*SUMIFS(условия!$79:$79,условия!$8:$8,"&lt;="&amp;DA$9,условия!$9:$9,"&gt;="&amp;DA$9)/DAY(EOMONTH(DA$9,0))-CZ23)))</f>
        <v>732681.42380422645</v>
      </c>
      <c r="DB23" s="33">
        <f>IF(DB$9="",0,IF(2*DB21*SUMIFS(условия!$79:$79,условия!$8:$8,"&lt;="&amp;DB$9,условия!$9:$9,"&gt;="&amp;DB$9)/DAY(EOMONTH(DB$9,0))-2*DA23+DB21&lt;0,DA23-DB21,IF(OR(2*DB21*SUMIFS(условия!$79:$79,условия!$8:$8,"&lt;="&amp;DB$9,условия!$9:$9,"&gt;="&amp;DB$9)/DAY(EOMONTH(DB$9,0))-DA23&lt;0,DAY(EOMONTH(DB$9,0))=0),0,2*DB21*SUMIFS(условия!$79:$79,условия!$8:$8,"&lt;="&amp;DB$9,условия!$9:$9,"&gt;="&amp;DB$9)/DAY(EOMONTH(DB$9,0))-DA23)))</f>
        <v>134415.35038932192</v>
      </c>
      <c r="DC23" s="33">
        <f>IF(DC$9="",0,IF(2*DC21*SUMIFS(условия!$79:$79,условия!$8:$8,"&lt;="&amp;DC$9,условия!$9:$9,"&gt;="&amp;DC$9)/DAY(EOMONTH(DC$9,0))-2*DB23+DC21&lt;0,DB23-DC21,IF(OR(2*DC21*SUMIFS(условия!$79:$79,условия!$8:$8,"&lt;="&amp;DC$9,условия!$9:$9,"&gt;="&amp;DC$9)/DAY(EOMONTH(DC$9,0))-DB23&lt;0,DAY(EOMONTH(DC$9,0))=0),0,2*DC21*SUMIFS(условия!$79:$79,условия!$8:$8,"&lt;="&amp;DC$9,условия!$9:$9,"&gt;="&amp;DC$9)/DAY(EOMONTH(DC$9,0))-DB23)))</f>
        <v>761584.64961067808</v>
      </c>
      <c r="DD23" s="33">
        <f>IF(DD$9="",0,IF(2*DD21*SUMIFS(условия!$79:$79,условия!$8:$8,"&lt;="&amp;DD$9,условия!$9:$9,"&gt;="&amp;DD$9)/DAY(EOMONTH(DD$9,0))-2*DC23+DD21&lt;0,DC23-DD21,IF(OR(2*DD21*SUMIFS(условия!$79:$79,условия!$8:$8,"&lt;="&amp;DD$9,условия!$9:$9,"&gt;="&amp;DD$9)/DAY(EOMONTH(DD$9,0))-DC23&lt;0,DAY(EOMONTH(DD$9,0))=0),0,2*DD21*SUMIFS(условия!$79:$79,условия!$8:$8,"&lt;="&amp;DD$9,условия!$9:$9,"&gt;="&amp;DD$9)/DAY(EOMONTH(DD$9,0))-DC23)))</f>
        <v>257584.64961067808</v>
      </c>
      <c r="DE23" s="33">
        <f>IF(DE$9="",0,IF(2*DE21*SUMIFS(условия!$79:$79,условия!$8:$8,"&lt;="&amp;DE$9,условия!$9:$9,"&gt;="&amp;DE$9)/DAY(EOMONTH(DE$9,0))-2*DD23+DE21&lt;0,DD23-DE21,IF(OR(2*DE21*SUMIFS(условия!$79:$79,условия!$8:$8,"&lt;="&amp;DE$9,условия!$9:$9,"&gt;="&amp;DE$9)/DAY(EOMONTH(DE$9,0))-DD23&lt;0,DAY(EOMONTH(DE$9,0))=0),0,2*DE21*SUMIFS(условия!$79:$79,условия!$8:$8,"&lt;="&amp;DE$9,условия!$9:$9,"&gt;="&amp;DE$9)/DAY(EOMONTH(DE$9,0))-DD23)))</f>
        <v>302415.35038932192</v>
      </c>
      <c r="DF23" s="33">
        <f>IF(DF$9="",0,IF(2*DF21*SUMIFS(условия!$79:$79,условия!$8:$8,"&lt;="&amp;DF$9,условия!$9:$9,"&gt;="&amp;DF$9)/DAY(EOMONTH(DF$9,0))-2*DE23+DF21&lt;0,DE23-DF21,IF(OR(2*DF21*SUMIFS(условия!$79:$79,условия!$8:$8,"&lt;="&amp;DF$9,условия!$9:$9,"&gt;="&amp;DF$9)/DAY(EOMONTH(DF$9,0))-DE23&lt;0,DAY(EOMONTH(DF$9,0))=0),0,2*DF21*SUMIFS(условия!$79:$79,условия!$8:$8,"&lt;="&amp;DF$9,условия!$9:$9,"&gt;="&amp;DF$9)/DAY(EOMONTH(DF$9,0))-DE23)))</f>
        <v>239520.13348164584</v>
      </c>
      <c r="DG23" s="33">
        <f>IF(DG$9="",0,IF(2*DG21*SUMIFS(условия!$79:$79,условия!$8:$8,"&lt;="&amp;DG$9,условия!$9:$9,"&gt;="&amp;DG$9)/DAY(EOMONTH(DG$9,0))-2*DF23+DG21&lt;0,DF23-DG21,IF(OR(2*DG21*SUMIFS(условия!$79:$79,условия!$8:$8,"&lt;="&amp;DG$9,условия!$9:$9,"&gt;="&amp;DG$9)/DAY(EOMONTH(DG$9,0))-DF23&lt;0,DAY(EOMONTH(DG$9,0))=0),0,2*DG21*SUMIFS(условия!$79:$79,условия!$8:$8,"&lt;="&amp;DG$9,условия!$9:$9,"&gt;="&amp;DG$9)/DAY(EOMONTH(DG$9,0))-DF23)))</f>
        <v>410802.44716351549</v>
      </c>
      <c r="DH23" s="33">
        <f>IF(DH$9="",0,IF(2*DH21*SUMIFS(условия!$79:$79,условия!$8:$8,"&lt;="&amp;DH$9,условия!$9:$9,"&gt;="&amp;DH$9)/DAY(EOMONTH(DH$9,0))-2*DG23+DH21&lt;0,DG23-DH21,IF(OR(2*DH21*SUMIFS(условия!$79:$79,условия!$8:$8,"&lt;="&amp;DH$9,условия!$9:$9,"&gt;="&amp;DH$9)/DAY(EOMONTH(DH$9,0))-DG23&lt;0,DAY(EOMONTH(DH$9,0))=0),0,2*DH21*SUMIFS(условия!$79:$79,условия!$8:$8,"&lt;="&amp;DH$9,условия!$9:$9,"&gt;="&amp;DH$9)/DAY(EOMONTH(DH$9,0))-DG23)))</f>
        <v>597197.55283648451</v>
      </c>
      <c r="DI23" s="33">
        <f>IF(DI$9="",0,IF(2*DI21*SUMIFS(условия!$79:$79,условия!$8:$8,"&lt;="&amp;DI$9,условия!$9:$9,"&gt;="&amp;DI$9)/DAY(EOMONTH(DI$9,0))-2*DH23+DI21&lt;0,DH23-DI21,IF(OR(2*DI21*SUMIFS(условия!$79:$79,условия!$8:$8,"&lt;="&amp;DI$9,условия!$9:$9,"&gt;="&amp;DI$9)/DAY(EOMONTH(DI$9,0))-DH23&lt;0,DAY(EOMONTH(DI$9,0))=0),0,2*DI21*SUMIFS(условия!$79:$79,условия!$8:$8,"&lt;="&amp;DI$9,условия!$9:$9,"&gt;="&amp;DI$9)/DAY(EOMONTH(DI$9,0))-DH23)))</f>
        <v>703447.60845383815</v>
      </c>
      <c r="DJ23" s="33">
        <f>IF(DJ$9="",0,IF(2*DJ21*SUMIFS(условия!$79:$79,условия!$8:$8,"&lt;="&amp;DJ$9,условия!$9:$9,"&gt;="&amp;DJ$9)/DAY(EOMONTH(DJ$9,0))-2*DI23+DJ21&lt;0,DI23-DJ21,IF(OR(2*DJ21*SUMIFS(условия!$79:$79,условия!$8:$8,"&lt;="&amp;DJ$9,условия!$9:$9,"&gt;="&amp;DJ$9)/DAY(EOMONTH(DJ$9,0))-DI23&lt;0,DAY(EOMONTH(DJ$9,0))=0),0,2*DJ21*SUMIFS(условия!$79:$79,условия!$8:$8,"&lt;="&amp;DJ$9,условия!$9:$9,"&gt;="&amp;DJ$9)/DAY(EOMONTH(DJ$9,0))-DI23)))</f>
        <v>976552.39154616185</v>
      </c>
      <c r="DK23" s="33">
        <f>IF(DK$9="",0,IF(2*DK21*SUMIFS(условия!$79:$79,условия!$8:$8,"&lt;="&amp;DK$9,условия!$9:$9,"&gt;="&amp;DK$9)/DAY(EOMONTH(DK$9,0))-2*DJ23+DK21&lt;0,DJ23-DK21,IF(OR(2*DK21*SUMIFS(условия!$79:$79,условия!$8:$8,"&lt;="&amp;DK$9,условия!$9:$9,"&gt;="&amp;DK$9)/DAY(EOMONTH(DK$9,0))-DJ23&lt;0,DAY(EOMONTH(DK$9,0))=0),0,2*DK21*SUMIFS(условия!$79:$79,условия!$8:$8,"&lt;="&amp;DK$9,условия!$9:$9,"&gt;="&amp;DK$9)/DAY(EOMONTH(DK$9,0))-DJ23)))</f>
        <v>432479.86651835428</v>
      </c>
      <c r="DL23" s="33">
        <f>IF(DL$9="",0,IF(2*DL21*SUMIFS(условия!$79:$79,условия!$8:$8,"&lt;="&amp;DL$9,условия!$9:$9,"&gt;="&amp;DL$9)/DAY(EOMONTH(DL$9,0))-2*DK23+DL21&lt;0,DK23-DL21,IF(OR(2*DL21*SUMIFS(условия!$79:$79,условия!$8:$8,"&lt;="&amp;DL$9,условия!$9:$9,"&gt;="&amp;DL$9)/DAY(EOMONTH(DL$9,0))-DK23&lt;0,DAY(EOMONTH(DL$9,0))=0),0,2*DL21*SUMIFS(условия!$79:$79,условия!$8:$8,"&lt;="&amp;DL$9,условия!$9:$9,"&gt;="&amp;DL$9)/DAY(EOMONTH(DL$9,0))-DK23)))</f>
        <v>264294.32703003287</v>
      </c>
      <c r="DM23" s="33">
        <f>IF(DM$9="",0,IF(2*DM21*SUMIFS(условия!$79:$79,условия!$8:$8,"&lt;="&amp;DM$9,условия!$9:$9,"&gt;="&amp;DM$9)/DAY(EOMONTH(DM$9,0))-2*DL23+DM21&lt;0,DL23-DM21,IF(OR(2*DM21*SUMIFS(условия!$79:$79,условия!$8:$8,"&lt;="&amp;DM$9,условия!$9:$9,"&gt;="&amp;DM$9)/DAY(EOMONTH(DM$9,0))-DL23&lt;0,DAY(EOMONTH(DM$9,0))=0),0,2*DM21*SUMIFS(условия!$79:$79,условия!$8:$8,"&lt;="&amp;DM$9,условия!$9:$9,"&gt;="&amp;DM$9)/DAY(EOMONTH(DM$9,0))-DL23)))</f>
        <v>635705.67296996724</v>
      </c>
      <c r="DN23" s="33">
        <f>IF(DN$9="",0,IF(2*DN21*SUMIFS(условия!$79:$79,условия!$8:$8,"&lt;="&amp;DN$9,условия!$9:$9,"&gt;="&amp;DN$9)/DAY(EOMONTH(DN$9,0))-2*DM23+DN21&lt;0,DM23-DN21,IF(OR(2*DN21*SUMIFS(условия!$79:$79,условия!$8:$8,"&lt;="&amp;DN$9,условия!$9:$9,"&gt;="&amp;DN$9)/DAY(EOMONTH(DN$9,0))-DM23&lt;0,DAY(EOMONTH(DN$9,0))=0),0,2*DN21*SUMIFS(условия!$79:$79,условия!$8:$8,"&lt;="&amp;DN$9,условия!$9:$9,"&gt;="&amp;DN$9)/DAY(EOMONTH(DN$9,0))-DM23)))</f>
        <v>293326.58509454888</v>
      </c>
      <c r="DO23" s="33">
        <f>IF(DO$9="",0,IF(2*DO21*SUMIFS(условия!$79:$79,условия!$8:$8,"&lt;="&amp;DO$9,условия!$9:$9,"&gt;="&amp;DO$9)/DAY(EOMONTH(DO$9,0))-2*DN23+DO21&lt;0,DN23-DO21,IF(OR(2*DO21*SUMIFS(условия!$79:$79,условия!$8:$8,"&lt;="&amp;DO$9,условия!$9:$9,"&gt;="&amp;DO$9)/DAY(EOMONTH(DO$9,0))-DN23&lt;0,DAY(EOMONTH(DO$9,0))=0),0,2*DO21*SUMIFS(условия!$79:$79,условия!$8:$8,"&lt;="&amp;DO$9,условия!$9:$9,"&gt;="&amp;DO$9)/DAY(EOMONTH(DO$9,0))-DN23)))</f>
        <v>666673.41490545112</v>
      </c>
      <c r="DP23" s="33">
        <f>IF(DP$9="",0,IF(2*DP21*SUMIFS(условия!$79:$79,условия!$8:$8,"&lt;="&amp;DP$9,условия!$9:$9,"&gt;="&amp;DP$9)/DAY(EOMONTH(DP$9,0))-2*DO23+DP21&lt;0,DO23-DP21,IF(OR(2*DP21*SUMIFS(условия!$79:$79,условия!$8:$8,"&lt;="&amp;DP$9,условия!$9:$9,"&gt;="&amp;DP$9)/DAY(EOMONTH(DP$9,0))-DO23&lt;0,DAY(EOMONTH(DP$9,0))=0),0,2*DP21*SUMIFS(условия!$79:$79,условия!$8:$8,"&lt;="&amp;DP$9,условия!$9:$9,"&gt;="&amp;DP$9)/DAY(EOMONTH(DP$9,0))-DO23)))</f>
        <v>126673.41490545112</v>
      </c>
      <c r="DQ23" s="33">
        <f>IF(DQ$9="",0,IF(2*DQ21*SUMIFS(условия!$79:$79,условия!$8:$8,"&lt;="&amp;DQ$9,условия!$9:$9,"&gt;="&amp;DQ$9)/DAY(EOMONTH(DQ$9,0))-2*DP23+DQ21&lt;0,DP23-DQ21,IF(OR(2*DQ21*SUMIFS(условия!$79:$79,условия!$8:$8,"&lt;="&amp;DQ$9,условия!$9:$9,"&gt;="&amp;DQ$9)/DAY(EOMONTH(DQ$9,0))-DP23&lt;0,DAY(EOMONTH(DQ$9,0))=0),0,2*DQ21*SUMIFS(условия!$79:$79,условия!$8:$8,"&lt;="&amp;DQ$9,условия!$9:$9,"&gt;="&amp;DQ$9)/DAY(EOMONTH(DQ$9,0))-DP23)))</f>
        <v>473326.58509454888</v>
      </c>
      <c r="DR23" s="33">
        <f>IF(DR$9="",0,IF(2*DR21*SUMIFS(условия!$79:$79,условия!$8:$8,"&lt;="&amp;DR$9,условия!$9:$9,"&gt;="&amp;DR$9)/DAY(EOMONTH(DR$9,0))-2*DQ23+DR21&lt;0,DQ23-DR21,IF(OR(2*DR21*SUMIFS(условия!$79:$79,условия!$8:$8,"&lt;="&amp;DR$9,условия!$9:$9,"&gt;="&amp;DR$9)/DAY(EOMONTH(DR$9,0))-DQ23&lt;0,DAY(EOMONTH(DR$9,0))=0),0,2*DR21*SUMIFS(условия!$79:$79,условия!$8:$8,"&lt;="&amp;DR$9,условия!$9:$9,"&gt;="&amp;DR$9)/DAY(EOMONTH(DR$9,0))-DQ23)))</f>
        <v>107318.57619577367</v>
      </c>
      <c r="DS23" s="33">
        <f>IF(DS$9="",0,IF(2*DS21*SUMIFS(условия!$79:$79,условия!$8:$8,"&lt;="&amp;DS$9,условия!$9:$9,"&gt;="&amp;DS$9)/DAY(EOMONTH(DS$9,0))-2*DR23+DS21&lt;0,DR23-DS21,IF(OR(2*DS21*SUMIFS(условия!$79:$79,условия!$8:$8,"&lt;="&amp;DS$9,условия!$9:$9,"&gt;="&amp;DS$9)/DAY(EOMONTH(DS$9,0))-DR23&lt;0,DAY(EOMONTH(DS$9,0))=0),0,2*DS21*SUMIFS(условия!$79:$79,условия!$8:$8,"&lt;="&amp;DS$9,условия!$9:$9,"&gt;="&amp;DS$9)/DAY(EOMONTH(DS$9,0))-DR23)))</f>
        <v>589455.61735261348</v>
      </c>
      <c r="DT23" s="33">
        <f>IF(DT$9="",0,IF(2*DT21*SUMIFS(условия!$79:$79,условия!$8:$8,"&lt;="&amp;DT$9,условия!$9:$9,"&gt;="&amp;DT$9)/DAY(EOMONTH(DT$9,0))-2*DS23+DT21&lt;0,DS23-DT21,IF(OR(2*DT21*SUMIFS(условия!$79:$79,условия!$8:$8,"&lt;="&amp;DT$9,условия!$9:$9,"&gt;="&amp;DT$9)/DAY(EOMONTH(DT$9,0))-DS23&lt;0,DAY(EOMONTH(DT$9,0))=0),0,2*DT21*SUMIFS(условия!$79:$79,условия!$8:$8,"&lt;="&amp;DT$9,условия!$9:$9,"&gt;="&amp;DT$9)/DAY(EOMONTH(DT$9,0))-DS23)))</f>
        <v>490544.38264738652</v>
      </c>
      <c r="DU23" s="33">
        <f>IF(DU$9="",0,IF(2*DU21*SUMIFS(условия!$79:$79,условия!$8:$8,"&lt;="&amp;DU$9,условия!$9:$9,"&gt;="&amp;DU$9)/DAY(EOMONTH(DU$9,0))-2*DT23+DU21&lt;0,DT23-DU21,IF(OR(2*DU21*SUMIFS(условия!$79:$79,условия!$8:$8,"&lt;="&amp;DU$9,условия!$9:$9,"&gt;="&amp;DU$9)/DAY(EOMONTH(DU$9,0))-DT23&lt;0,DAY(EOMONTH(DU$9,0))=0),0,2*DU21*SUMIFS(условия!$79:$79,условия!$8:$8,"&lt;="&amp;DU$9,условия!$9:$9,"&gt;="&amp;DU$9)/DAY(EOMONTH(DU$9,0))-DT23)))</f>
        <v>903004.00444938778</v>
      </c>
      <c r="DV23" s="33">
        <f>IF(DV$9="",0,IF(2*DV21*SUMIFS(условия!$79:$79,условия!$8:$8,"&lt;="&amp;DV$9,условия!$9:$9,"&gt;="&amp;DV$9)/DAY(EOMONTH(DV$9,0))-2*DU23+DV21&lt;0,DU23-DV21,IF(OR(2*DV21*SUMIFS(условия!$79:$79,условия!$8:$8,"&lt;="&amp;DV$9,условия!$9:$9,"&gt;="&amp;DV$9)/DAY(EOMONTH(DV$9,0))-DU23&lt;0,DAY(EOMONTH(DV$9,0))=0),0,2*DV21*SUMIFS(условия!$79:$79,условия!$8:$8,"&lt;="&amp;DV$9,условия!$9:$9,"&gt;="&amp;DV$9)/DAY(EOMONTH(DV$9,0))-DU23)))</f>
        <v>896995.99555061222</v>
      </c>
      <c r="DW23" s="33">
        <f>IF(DW$9="",0,IF(2*DW21*SUMIFS(условия!$79:$79,условия!$8:$8,"&lt;="&amp;DW$9,условия!$9:$9,"&gt;="&amp;DW$9)/DAY(EOMONTH(DW$9,0))-2*DV23+DW21&lt;0,DV23-DW21,IF(OR(2*DW21*SUMIFS(условия!$79:$79,условия!$8:$8,"&lt;="&amp;DW$9,условия!$9:$9,"&gt;="&amp;DW$9)/DAY(EOMONTH(DW$9,0))-DV23&lt;0,DAY(EOMONTH(DW$9,0))=0),0,2*DW21*SUMIFS(условия!$79:$79,условия!$8:$8,"&lt;="&amp;DW$9,условия!$9:$9,"&gt;="&amp;DW$9)/DAY(EOMONTH(DW$9,0))-DV23)))</f>
        <v>612681.42380422656</v>
      </c>
      <c r="DX23" s="33">
        <f>IF(DX$9="",0,IF(2*DX21*SUMIFS(условия!$79:$79,условия!$8:$8,"&lt;="&amp;DX$9,условия!$9:$9,"&gt;="&amp;DX$9)/DAY(EOMONTH(DX$9,0))-2*DW23+DX21&lt;0,DW23-DX21,IF(OR(2*DX21*SUMIFS(условия!$79:$79,условия!$8:$8,"&lt;="&amp;DX$9,условия!$9:$9,"&gt;="&amp;DX$9)/DAY(EOMONTH(DX$9,0))-DW23&lt;0,DAY(EOMONTH(DX$9,0))=0),0,2*DX21*SUMIFS(условия!$79:$79,условия!$8:$8,"&lt;="&amp;DX$9,условия!$9:$9,"&gt;="&amp;DX$9)/DAY(EOMONTH(DX$9,0))-DW23)))</f>
        <v>84092.769744160585</v>
      </c>
      <c r="DY23" s="33">
        <f>IF(DY$9="",0,IF(2*DY21*SUMIFS(условия!$79:$79,условия!$8:$8,"&lt;="&amp;DY$9,условия!$9:$9,"&gt;="&amp;DY$9)/DAY(EOMONTH(DY$9,0))-2*DX23+DY21&lt;0,DX23-DY21,IF(OR(2*DY21*SUMIFS(условия!$79:$79,условия!$8:$8,"&lt;="&amp;DY$9,условия!$9:$9,"&gt;="&amp;DY$9)/DAY(EOMONTH(DY$9,0))-DX23&lt;0,DAY(EOMONTH(DY$9,0))=0),0,2*DY21*SUMIFS(условия!$79:$79,условия!$8:$8,"&lt;="&amp;DY$9,условия!$9:$9,"&gt;="&amp;DY$9)/DAY(EOMONTH(DY$9,0))-DX23)))</f>
        <v>815907.23025583953</v>
      </c>
      <c r="DZ23" s="33">
        <f>IF(DZ$9="",0,IF(2*DZ21*SUMIFS(условия!$79:$79,условия!$8:$8,"&lt;="&amp;DZ$9,условия!$9:$9,"&gt;="&amp;DZ$9)/DAY(EOMONTH(DZ$9,0))-2*DY23+DZ21&lt;0,DY23-DZ21,IF(OR(2*DZ21*SUMIFS(условия!$79:$79,условия!$8:$8,"&lt;="&amp;DZ$9,условия!$9:$9,"&gt;="&amp;DZ$9)/DAY(EOMONTH(DZ$9,0))-DY23&lt;0,DAY(EOMONTH(DZ$9,0))=0),0,2*DZ21*SUMIFS(условия!$79:$79,условия!$8:$8,"&lt;="&amp;DZ$9,условия!$9:$9,"&gt;="&amp;DZ$9)/DAY(EOMONTH(DZ$9,0))-DY23)))</f>
        <v>113125.02780867659</v>
      </c>
      <c r="EA23" s="33">
        <f>IF(EA$9="",0,IF(2*EA21*SUMIFS(условия!$79:$79,условия!$8:$8,"&lt;="&amp;EA$9,условия!$9:$9,"&gt;="&amp;EA$9)/DAY(EOMONTH(EA$9,0))-2*DZ23+EA21&lt;0,DZ23-EA21,IF(OR(2*EA21*SUMIFS(условия!$79:$79,условия!$8:$8,"&lt;="&amp;EA$9,условия!$9:$9,"&gt;="&amp;EA$9)/DAY(EOMONTH(EA$9,0))-DZ23&lt;0,DAY(EOMONTH(EA$9,0))=0),0,2*EA21*SUMIFS(условия!$79:$79,условия!$8:$8,"&lt;="&amp;EA$9,условия!$9:$9,"&gt;="&amp;EA$9)/DAY(EOMONTH(EA$9,0))-DZ23)))</f>
        <v>846874.97219132341</v>
      </c>
      <c r="EB23" s="33">
        <f>IF(EB$9="",0,IF(2*EB21*SUMIFS(условия!$79:$79,условия!$8:$8,"&lt;="&amp;EB$9,условия!$9:$9,"&gt;="&amp;EB$9)/DAY(EOMONTH(EB$9,0))-2*EA23+EB21&lt;0,EA23-EB21,IF(OR(2*EB21*SUMIFS(условия!$79:$79,условия!$8:$8,"&lt;="&amp;EB$9,условия!$9:$9,"&gt;="&amp;EB$9)/DAY(EOMONTH(EB$9,0))-EA23&lt;0,DAY(EOMONTH(EB$9,0))=0),0,2*EB21*SUMIFS(условия!$79:$79,условия!$8:$8,"&lt;="&amp;EB$9,условия!$9:$9,"&gt;="&amp;EB$9)/DAY(EOMONTH(EB$9,0))-EA23)))</f>
        <v>306874.97219132341</v>
      </c>
      <c r="EC23" s="33">
        <f>IF(EC$9="",0,IF(2*EC21*SUMIFS(условия!$79:$79,условия!$8:$8,"&lt;="&amp;EC$9,условия!$9:$9,"&gt;="&amp;EC$9)/DAY(EOMONTH(EC$9,0))-2*EB23+EC21&lt;0,EB23-EC21,IF(OR(2*EC21*SUMIFS(условия!$79:$79,условия!$8:$8,"&lt;="&amp;EC$9,условия!$9:$9,"&gt;="&amp;EC$9)/DAY(EOMONTH(EC$9,0))-EB23&lt;0,DAY(EOMONTH(EC$9,0))=0),0,2*EC21*SUMIFS(условия!$79:$79,условия!$8:$8,"&lt;="&amp;EC$9,условия!$9:$9,"&gt;="&amp;EC$9)/DAY(EOMONTH(EC$9,0))-EB23)))</f>
        <v>293125.02780867659</v>
      </c>
      <c r="ED23" s="33">
        <f>IF(ED$9="",0,IF(2*ED21*SUMIFS(условия!$79:$79,условия!$8:$8,"&lt;="&amp;ED$9,условия!$9:$9,"&gt;="&amp;ED$9)/DAY(EOMONTH(ED$9,0))-2*EC23+ED21&lt;0,EC23-ED21,IF(OR(2*ED21*SUMIFS(условия!$79:$79,условия!$8:$8,"&lt;="&amp;ED$9,условия!$9:$9,"&gt;="&amp;ED$9)/DAY(EOMONTH(ED$9,0))-EC23&lt;0,DAY(EOMONTH(ED$9,0))=0),0,2*ED21*SUMIFS(условия!$79:$79,условия!$8:$8,"&lt;="&amp;ED$9,условия!$9:$9,"&gt;="&amp;ED$9)/DAY(EOMONTH(ED$9,0))-EC23)))</f>
        <v>287520.13348164596</v>
      </c>
      <c r="EE23" s="33">
        <f>IF(EE$9="",0,IF(2*EE21*SUMIFS(условия!$79:$79,условия!$8:$8,"&lt;="&amp;EE$9,условия!$9:$9,"&gt;="&amp;EE$9)/DAY(EOMONTH(EE$9,0))-2*ED23+EE21&lt;0,ED23-EE21,IF(OR(2*EE21*SUMIFS(условия!$79:$79,условия!$8:$8,"&lt;="&amp;EE$9,условия!$9:$9,"&gt;="&amp;EE$9)/DAY(EOMONTH(EE$9,0))-ED23&lt;0,DAY(EOMONTH(EE$9,0))=0),0,2*EE21*SUMIFS(условия!$79:$79,условия!$8:$8,"&lt;="&amp;EE$9,условия!$9:$9,"&gt;="&amp;EE$9)/DAY(EOMONTH(EE$9,0))-ED23)))</f>
        <v>409254.06006674119</v>
      </c>
      <c r="EF23" s="33">
        <f>IF(EF$9="",0,IF(2*EF21*SUMIFS(условия!$79:$79,условия!$8:$8,"&lt;="&amp;EF$9,условия!$9:$9,"&gt;="&amp;EF$9)/DAY(EOMONTH(EF$9,0))-2*EE23+EF21&lt;0,EE23-EF21,IF(OR(2*EF21*SUMIFS(условия!$79:$79,условия!$8:$8,"&lt;="&amp;EF$9,условия!$9:$9,"&gt;="&amp;EF$9)/DAY(EOMONTH(EF$9,0))-EE23&lt;0,DAY(EOMONTH(EF$9,0))=0),0,2*EF21*SUMIFS(условия!$79:$79,условия!$8:$8,"&lt;="&amp;EF$9,условия!$9:$9,"&gt;="&amp;EF$9)/DAY(EOMONTH(EF$9,0))-EE23)))</f>
        <v>670745.93993325881</v>
      </c>
      <c r="EG23" s="33">
        <f>IF(EG$9="",0,IF(2*EG21*SUMIFS(условия!$79:$79,условия!$8:$8,"&lt;="&amp;EG$9,условия!$9:$9,"&gt;="&amp;EG$9)/DAY(EOMONTH(EG$9,0))-2*EF23+EG21&lt;0,EF23-EG21,IF(OR(2*EG21*SUMIFS(условия!$79:$79,условия!$8:$8,"&lt;="&amp;EG$9,условия!$9:$9,"&gt;="&amp;EG$9)/DAY(EOMONTH(EG$9,0))-EF23&lt;0,DAY(EOMONTH(EG$9,0))=0),0,2*EG21*SUMIFS(условия!$79:$79,условия!$8:$8,"&lt;="&amp;EG$9,условия!$9:$9,"&gt;="&amp;EG$9)/DAY(EOMONTH(EG$9,0))-EF23)))</f>
        <v>722802.44716351549</v>
      </c>
      <c r="EH23" s="33">
        <f>IF(EH$9="",0,IF(2*EH21*SUMIFS(условия!$79:$79,условия!$8:$8,"&lt;="&amp;EH$9,условия!$9:$9,"&gt;="&amp;EH$9)/DAY(EOMONTH(EH$9,0))-2*EG23+EH21&lt;0,EG23-EH21,IF(OR(2*EH21*SUMIFS(условия!$79:$79,условия!$8:$8,"&lt;="&amp;EH$9,условия!$9:$9,"&gt;="&amp;EH$9)/DAY(EOMONTH(EH$9,0))-EG23&lt;0,DAY(EOMONTH(EH$9,0))=0),0,2*EH21*SUMIFS(условия!$79:$79,условия!$8:$8,"&lt;="&amp;EH$9,условия!$9:$9,"&gt;="&amp;EH$9)/DAY(EOMONTH(EH$9,0))-EG23)))</f>
        <v>1077197.5528364845</v>
      </c>
      <c r="EI23" s="33">
        <f>IF(EI$9="",0,IF(2*EI21*SUMIFS(условия!$79:$79,условия!$8:$8,"&lt;="&amp;EI$9,условия!$9:$9,"&gt;="&amp;EI$9)/DAY(EOMONTH(EI$9,0))-2*EH23+EI21&lt;0,EH23-EI21,IF(OR(2*EI21*SUMIFS(условия!$79:$79,условия!$8:$8,"&lt;="&amp;EI$9,условия!$9:$9,"&gt;="&amp;EI$9)/DAY(EOMONTH(EI$9,0))-EH23&lt;0,DAY(EOMONTH(EI$9,0))=0),0,2*EI21*SUMIFS(условия!$79:$79,условия!$8:$8,"&lt;="&amp;EI$9,условия!$9:$9,"&gt;="&amp;EI$9)/DAY(EOMONTH(EI$9,0))-EH23)))</f>
        <v>432479.86651835428</v>
      </c>
      <c r="EJ23" s="3"/>
      <c r="EK23" s="3"/>
    </row>
    <row r="24" spans="1:14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3"/>
      <c r="S24" s="3"/>
      <c r="T24" s="3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</row>
    <row r="25" spans="1:141" x14ac:dyDescent="0.25">
      <c r="A25" s="3"/>
      <c r="B25" s="3"/>
      <c r="C25" s="3"/>
      <c r="D25" s="3"/>
      <c r="E25" s="3"/>
      <c r="F25" s="10" t="str">
        <f>KPI!$F$33</f>
        <v>производство ГП в количестве единиц ГП</v>
      </c>
      <c r="G25" s="3"/>
      <c r="H25" s="3"/>
      <c r="I25" s="3"/>
      <c r="J25" s="5" t="str">
        <f>IF($F25="","",INDEX(KPI!$I$11:$I$275,SUMIFS(KPI!$E$11:$E$275,KPI!$F$11:$F$275,$F25)))</f>
        <v>ед. ГП</v>
      </c>
      <c r="K25" s="3"/>
      <c r="L25" s="3"/>
      <c r="M25" s="3"/>
      <c r="N25" s="3"/>
      <c r="O25" s="3"/>
      <c r="P25" s="3"/>
      <c r="Q25" s="12">
        <f>SUM(S25:EJ25)</f>
        <v>49983979.866518371</v>
      </c>
      <c r="R25" s="3"/>
      <c r="S25" s="3"/>
      <c r="T25" s="33">
        <f>T23-S23+T21</f>
        <v>0</v>
      </c>
      <c r="U25" s="33">
        <f>U23-T23+U21</f>
        <v>0</v>
      </c>
      <c r="V25" s="33">
        <f t="shared" ref="V25:CF25" si="13">V23-U23+V21</f>
        <v>0</v>
      </c>
      <c r="W25" s="33">
        <f t="shared" si="13"/>
        <v>0</v>
      </c>
      <c r="X25" s="33">
        <f t="shared" si="13"/>
        <v>26419.354838709678</v>
      </c>
      <c r="Y25" s="33">
        <f t="shared" si="13"/>
        <v>0</v>
      </c>
      <c r="Z25" s="33">
        <f t="shared" si="13"/>
        <v>2177.4193548387084</v>
      </c>
      <c r="AA25" s="33">
        <f t="shared" si="13"/>
        <v>17225.806451612905</v>
      </c>
      <c r="AB25" s="33">
        <f t="shared" si="13"/>
        <v>14854.838709677417</v>
      </c>
      <c r="AC25" s="33">
        <f t="shared" si="13"/>
        <v>24483.870967741939</v>
      </c>
      <c r="AD25" s="33">
        <f t="shared" si="13"/>
        <v>26177.419354838705</v>
      </c>
      <c r="AE25" s="33">
        <f t="shared" si="13"/>
        <v>8564.5161290322649</v>
      </c>
      <c r="AF25" s="33">
        <f>AF23-AE23+AF21</f>
        <v>68303.225806451606</v>
      </c>
      <c r="AG25" s="33">
        <f t="shared" si="13"/>
        <v>20187.096774193546</v>
      </c>
      <c r="AH25" s="33">
        <f t="shared" si="13"/>
        <v>63425.806451612909</v>
      </c>
      <c r="AI25" s="33">
        <f t="shared" si="13"/>
        <v>25761.290322580637</v>
      </c>
      <c r="AJ25" s="33">
        <f t="shared" si="13"/>
        <v>26148.387096774204</v>
      </c>
      <c r="AK25" s="33">
        <f t="shared" si="13"/>
        <v>24541.935483870955</v>
      </c>
      <c r="AL25" s="33">
        <f t="shared" si="13"/>
        <v>27716.129032258075</v>
      </c>
      <c r="AM25" s="33">
        <f t="shared" si="13"/>
        <v>42135.483870967735</v>
      </c>
      <c r="AN25" s="33">
        <f t="shared" si="13"/>
        <v>73354.838709677424</v>
      </c>
      <c r="AO25" s="33">
        <f t="shared" si="13"/>
        <v>68264.516129032258</v>
      </c>
      <c r="AP25" s="33">
        <f t="shared" si="13"/>
        <v>114116.12903225806</v>
      </c>
      <c r="AQ25" s="33">
        <f t="shared" si="13"/>
        <v>10954.838709677424</v>
      </c>
      <c r="AR25" s="33">
        <f t="shared" si="13"/>
        <v>169954.83870967742</v>
      </c>
      <c r="AS25" s="33">
        <f t="shared" si="13"/>
        <v>59464.516129032287</v>
      </c>
      <c r="AT25" s="33">
        <f t="shared" si="13"/>
        <v>157309.67741935479</v>
      </c>
      <c r="AU25" s="33">
        <f t="shared" si="13"/>
        <v>73916.129032258119</v>
      </c>
      <c r="AV25" s="33">
        <f t="shared" si="13"/>
        <v>60664.516129032214</v>
      </c>
      <c r="AW25" s="33">
        <f t="shared" si="13"/>
        <v>70754.838709677453</v>
      </c>
      <c r="AX25" s="33">
        <f t="shared" si="13"/>
        <v>64729.032258064486</v>
      </c>
      <c r="AY25" s="33">
        <f t="shared" si="13"/>
        <v>116367.74193548391</v>
      </c>
      <c r="AZ25" s="33">
        <f t="shared" si="13"/>
        <v>183051.61290322576</v>
      </c>
      <c r="BA25" s="33">
        <f t="shared" si="13"/>
        <v>184109.67741935491</v>
      </c>
      <c r="BB25" s="33">
        <f t="shared" si="13"/>
        <v>288729.03225806443</v>
      </c>
      <c r="BC25" s="33">
        <f t="shared" si="13"/>
        <v>35529.032258064603</v>
      </c>
      <c r="BD25" s="33">
        <f t="shared" si="13"/>
        <v>256551.61290322579</v>
      </c>
      <c r="BE25" s="33">
        <f t="shared" si="13"/>
        <v>160032.0912124585</v>
      </c>
      <c r="BF25" s="33">
        <f t="shared" si="13"/>
        <v>259997.10789766387</v>
      </c>
      <c r="BG25" s="33">
        <f t="shared" si="13"/>
        <v>173551.27919911037</v>
      </c>
      <c r="BH25" s="33">
        <f t="shared" si="13"/>
        <v>78787.430478309019</v>
      </c>
      <c r="BI25" s="33">
        <f t="shared" si="13"/>
        <v>167623.8598442717</v>
      </c>
      <c r="BJ25" s="33">
        <f t="shared" si="13"/>
        <v>86408.398220244475</v>
      </c>
      <c r="BK25" s="33">
        <f t="shared" si="13"/>
        <v>253148.0533926588</v>
      </c>
      <c r="BL25" s="33">
        <f t="shared" si="13"/>
        <v>308263.2369299219</v>
      </c>
      <c r="BM25" s="33">
        <f t="shared" si="13"/>
        <v>380164.18242491694</v>
      </c>
      <c r="BN25" s="33">
        <f t="shared" si="13"/>
        <v>506408.3982202445</v>
      </c>
      <c r="BO25" s="33">
        <f t="shared" si="13"/>
        <v>101575.47274749755</v>
      </c>
      <c r="BP25" s="33">
        <f t="shared" si="13"/>
        <v>331706.78531701851</v>
      </c>
      <c r="BQ25" s="33">
        <f t="shared" si="13"/>
        <v>427777.0856507236</v>
      </c>
      <c r="BR25" s="33">
        <f t="shared" si="13"/>
        <v>311577.75305895379</v>
      </c>
      <c r="BS25" s="33">
        <f t="shared" si="13"/>
        <v>477067.40823136875</v>
      </c>
      <c r="BT25" s="33">
        <f t="shared" si="13"/>
        <v>19448.720800889307</v>
      </c>
      <c r="BU25" s="33">
        <f t="shared" si="13"/>
        <v>444035.15016685263</v>
      </c>
      <c r="BV25" s="33">
        <f t="shared" si="13"/>
        <v>23061.624026695732</v>
      </c>
      <c r="BW25" s="33">
        <f t="shared" si="13"/>
        <v>582357.73081201396</v>
      </c>
      <c r="BX25" s="33">
        <f t="shared" si="13"/>
        <v>393126.14015572798</v>
      </c>
      <c r="BY25" s="33">
        <f t="shared" si="13"/>
        <v>823906.11790878815</v>
      </c>
      <c r="BZ25" s="33">
        <f t="shared" si="13"/>
        <v>743061.62402669573</v>
      </c>
      <c r="CA25" s="33">
        <f t="shared" si="13"/>
        <v>407389.98887653009</v>
      </c>
      <c r="CB25" s="33">
        <f t="shared" si="13"/>
        <v>169616.46273637319</v>
      </c>
      <c r="CC25" s="33">
        <f t="shared" si="13"/>
        <v>798725.47274749796</v>
      </c>
      <c r="CD25" s="33">
        <f t="shared" si="13"/>
        <v>143951.94660734071</v>
      </c>
      <c r="CE25" s="33">
        <f t="shared" si="13"/>
        <v>861570.63403782062</v>
      </c>
      <c r="CF25" s="33">
        <f t="shared" si="13"/>
        <v>0</v>
      </c>
      <c r="CG25" s="33">
        <f t="shared" ref="CG25:EH25" si="14">CG23-CF23+CG21</f>
        <v>362429.36596217938</v>
      </c>
      <c r="CH25" s="33">
        <f t="shared" si="14"/>
        <v>233119.0211345948</v>
      </c>
      <c r="CI25" s="33">
        <f t="shared" si="14"/>
        <v>538790.6562847601</v>
      </c>
      <c r="CJ25" s="33">
        <f t="shared" si="14"/>
        <v>704951.27919911081</v>
      </c>
      <c r="CK25" s="33">
        <f t="shared" si="14"/>
        <v>846764.84983314737</v>
      </c>
      <c r="CL25" s="33">
        <f t="shared" si="14"/>
        <v>1151119.0211345945</v>
      </c>
      <c r="CM25" s="33">
        <f t="shared" si="14"/>
        <v>315706.7853170184</v>
      </c>
      <c r="CN25" s="33">
        <f t="shared" si="14"/>
        <v>381880.31145717535</v>
      </c>
      <c r="CO25" s="33">
        <f t="shared" si="14"/>
        <v>814306.78531701851</v>
      </c>
      <c r="CP25" s="33">
        <f t="shared" si="14"/>
        <v>350177.08565072366</v>
      </c>
      <c r="CQ25" s="33">
        <f t="shared" si="14"/>
        <v>891939.04338153463</v>
      </c>
      <c r="CR25" s="33">
        <f t="shared" si="14"/>
        <v>0</v>
      </c>
      <c r="CS25" s="33">
        <f t="shared" si="14"/>
        <v>620060.95661846548</v>
      </c>
      <c r="CT25" s="33">
        <f t="shared" si="14"/>
        <v>115616.46273637324</v>
      </c>
      <c r="CU25" s="33">
        <f t="shared" si="14"/>
        <v>837919.02113459457</v>
      </c>
      <c r="CV25" s="33">
        <f t="shared" si="14"/>
        <v>698468.07563959935</v>
      </c>
      <c r="CW25" s="33">
        <f t="shared" si="14"/>
        <v>1218357.7308120136</v>
      </c>
      <c r="CX25" s="33">
        <f t="shared" si="14"/>
        <v>1249616.4627363733</v>
      </c>
      <c r="CY25" s="33">
        <f t="shared" si="14"/>
        <v>562344.82758620766</v>
      </c>
      <c r="CZ25" s="33">
        <f t="shared" si="14"/>
        <v>0</v>
      </c>
      <c r="DA25" s="33">
        <f t="shared" si="14"/>
        <v>1242328.3648498324</v>
      </c>
      <c r="DB25" s="33">
        <f t="shared" si="14"/>
        <v>73733.926585095469</v>
      </c>
      <c r="DC25" s="33">
        <f t="shared" si="14"/>
        <v>1299169.2992213562</v>
      </c>
      <c r="DD25" s="33">
        <f t="shared" si="14"/>
        <v>0</v>
      </c>
      <c r="DE25" s="33">
        <f t="shared" si="14"/>
        <v>464830.70077864383</v>
      </c>
      <c r="DF25" s="33">
        <f t="shared" si="14"/>
        <v>357104.78309232392</v>
      </c>
      <c r="DG25" s="33">
        <f t="shared" si="14"/>
        <v>675282.31368186965</v>
      </c>
      <c r="DH25" s="33">
        <f t="shared" si="14"/>
        <v>942395.10567296902</v>
      </c>
      <c r="DI25" s="33">
        <f t="shared" si="14"/>
        <v>1114250.0556173536</v>
      </c>
      <c r="DJ25" s="33">
        <f t="shared" si="14"/>
        <v>1533104.7830923237</v>
      </c>
      <c r="DK25" s="33">
        <f t="shared" si="14"/>
        <v>547927.47497219243</v>
      </c>
      <c r="DL25" s="33">
        <f t="shared" si="14"/>
        <v>371814.4605116786</v>
      </c>
      <c r="DM25" s="33">
        <f t="shared" si="14"/>
        <v>1001411.3459399345</v>
      </c>
      <c r="DN25" s="33">
        <f t="shared" si="14"/>
        <v>377620.91212458163</v>
      </c>
      <c r="DO25" s="33">
        <f t="shared" si="14"/>
        <v>1093346.8298109022</v>
      </c>
      <c r="DP25" s="33">
        <f t="shared" si="14"/>
        <v>0</v>
      </c>
      <c r="DQ25" s="33">
        <f t="shared" si="14"/>
        <v>796653.17018909776</v>
      </c>
      <c r="DR25" s="33">
        <f t="shared" si="14"/>
        <v>83991.99110122479</v>
      </c>
      <c r="DS25" s="33">
        <f t="shared" si="14"/>
        <v>1022137.0411568398</v>
      </c>
      <c r="DT25" s="33">
        <f t="shared" si="14"/>
        <v>711088.76529477304</v>
      </c>
      <c r="DU25" s="33">
        <f t="shared" si="14"/>
        <v>1492459.6218020013</v>
      </c>
      <c r="DV25" s="33">
        <f t="shared" si="14"/>
        <v>1343991.9911012244</v>
      </c>
      <c r="DW25" s="33">
        <f t="shared" si="14"/>
        <v>885685.42825361434</v>
      </c>
      <c r="DX25" s="33">
        <f t="shared" si="14"/>
        <v>11411.345939934021</v>
      </c>
      <c r="DY25" s="33">
        <f t="shared" si="14"/>
        <v>1361814.4605116791</v>
      </c>
      <c r="DZ25" s="33">
        <f t="shared" si="14"/>
        <v>17217.797552837059</v>
      </c>
      <c r="EA25" s="33">
        <f t="shared" si="14"/>
        <v>1453749.9443826468</v>
      </c>
      <c r="EB25" s="33">
        <f t="shared" si="14"/>
        <v>0</v>
      </c>
      <c r="EC25" s="33">
        <f t="shared" si="14"/>
        <v>436250.05561735318</v>
      </c>
      <c r="ED25" s="33">
        <f t="shared" si="14"/>
        <v>444395.10567296937</v>
      </c>
      <c r="EE25" s="33">
        <f t="shared" si="14"/>
        <v>661733.92658509524</v>
      </c>
      <c r="EF25" s="33">
        <f t="shared" si="14"/>
        <v>1071491.8798665176</v>
      </c>
      <c r="EG25" s="33">
        <f t="shared" si="14"/>
        <v>1132056.5072302567</v>
      </c>
      <c r="EH25" s="33">
        <f t="shared" si="14"/>
        <v>1704395.105672969</v>
      </c>
      <c r="EI25" s="33">
        <f>EI23-EH23+EI21</f>
        <v>525282.31368186977</v>
      </c>
      <c r="EJ25" s="3"/>
      <c r="EK25" s="3"/>
    </row>
    <row r="26" spans="1:14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41" x14ac:dyDescent="0.25">
      <c r="A27" s="3"/>
      <c r="B27" s="3"/>
      <c r="C27" s="3"/>
      <c r="D27" s="3"/>
      <c r="E27" s="3"/>
      <c r="F27" s="10" t="str">
        <f>KPI!$F$214</f>
        <v>себестоимость едининицы произведенной ГП</v>
      </c>
      <c r="G27" s="3"/>
      <c r="H27" s="3"/>
      <c r="I27" s="3"/>
      <c r="J27" s="5" t="str">
        <f>IF($F27="","",INDEX(KPI!$I$11:$I$275,SUMIFS(KPI!$E$11:$E$275,KPI!$F$11:$F$275,$F27)))</f>
        <v>руб.</v>
      </c>
      <c r="K27" s="3"/>
      <c r="L27" s="3"/>
      <c r="M27" s="3"/>
      <c r="N27" s="3"/>
      <c r="O27" s="3"/>
      <c r="P27" s="3"/>
      <c r="Q27" s="12"/>
      <c r="R27" s="3"/>
      <c r="S27" s="3"/>
      <c r="T27" s="33">
        <f>IF(S31+T33=0,0,(S27*S31+T39*T33)/(S31+T33))</f>
        <v>0</v>
      </c>
      <c r="U27" s="33">
        <f t="shared" ref="U27:CF27" si="15">IF(T31+U33=0,0,(T27*T31+U39*U33)/(T31+U33))</f>
        <v>0</v>
      </c>
      <c r="V27" s="33">
        <f t="shared" si="15"/>
        <v>0</v>
      </c>
      <c r="W27" s="33">
        <f t="shared" si="15"/>
        <v>0</v>
      </c>
      <c r="X27" s="33">
        <f>IF(W31+X33=0,0,(W27*W31+X39*X33)/(W31+X33))</f>
        <v>102.40000000000002</v>
      </c>
      <c r="Y27" s="33">
        <f>IF(X31+Y33=0,0,(X27*X31+Y39*Y33)/(X31+Y33))</f>
        <v>102.40000000000002</v>
      </c>
      <c r="Z27" s="33">
        <f t="shared" si="15"/>
        <v>102.40000000000002</v>
      </c>
      <c r="AA27" s="33">
        <f t="shared" si="15"/>
        <v>102.40000000000002</v>
      </c>
      <c r="AB27" s="33">
        <f t="shared" si="15"/>
        <v>102.40000000000002</v>
      </c>
      <c r="AC27" s="33">
        <f t="shared" si="15"/>
        <v>103.31671622495155</v>
      </c>
      <c r="AD27" s="33">
        <f t="shared" si="15"/>
        <v>107.08484055514222</v>
      </c>
      <c r="AE27" s="33">
        <f t="shared" si="15"/>
        <v>107.08484055514222</v>
      </c>
      <c r="AF27" s="33">
        <f>IF(AE31+AF33=0,0,(AE27*AE31+AF39*AF33)/(AE31+AF33))</f>
        <v>102.94070452628681</v>
      </c>
      <c r="AG27" s="33">
        <f t="shared" si="15"/>
        <v>102.94070452628681</v>
      </c>
      <c r="AH27" s="33">
        <f t="shared" si="15"/>
        <v>102.94070452628681</v>
      </c>
      <c r="AI27" s="33">
        <f t="shared" si="15"/>
        <v>102.94070452628681</v>
      </c>
      <c r="AJ27" s="33">
        <f t="shared" si="15"/>
        <v>104.42236359408219</v>
      </c>
      <c r="AK27" s="33">
        <f t="shared" si="15"/>
        <v>110.36635120287812</v>
      </c>
      <c r="AL27" s="33">
        <f t="shared" si="15"/>
        <v>111.68644122666885</v>
      </c>
      <c r="AM27" s="33">
        <f t="shared" si="15"/>
        <v>114.65472632701372</v>
      </c>
      <c r="AN27" s="33">
        <f t="shared" si="15"/>
        <v>116.07066976988999</v>
      </c>
      <c r="AO27" s="33">
        <f t="shared" si="15"/>
        <v>116.08917794198922</v>
      </c>
      <c r="AP27" s="33">
        <f t="shared" si="15"/>
        <v>111.2120633414373</v>
      </c>
      <c r="AQ27" s="33">
        <f t="shared" si="15"/>
        <v>111.21206334143729</v>
      </c>
      <c r="AR27" s="33">
        <f t="shared" si="15"/>
        <v>116.32403236786271</v>
      </c>
      <c r="AS27" s="33">
        <f t="shared" si="15"/>
        <v>116.32403236786271</v>
      </c>
      <c r="AT27" s="33">
        <f t="shared" si="15"/>
        <v>115.94624706834588</v>
      </c>
      <c r="AU27" s="33">
        <f t="shared" si="15"/>
        <v>115.94624706834588</v>
      </c>
      <c r="AV27" s="33">
        <f t="shared" si="15"/>
        <v>115.94624706834588</v>
      </c>
      <c r="AW27" s="33">
        <f t="shared" si="15"/>
        <v>115.94624706834588</v>
      </c>
      <c r="AX27" s="33">
        <f t="shared" si="15"/>
        <v>122.21250590039922</v>
      </c>
      <c r="AY27" s="33">
        <f t="shared" si="15"/>
        <v>117.89428436630782</v>
      </c>
      <c r="AZ27" s="33">
        <f t="shared" si="15"/>
        <v>117.51751972403522</v>
      </c>
      <c r="BA27" s="33">
        <f t="shared" si="15"/>
        <v>120.80623682396448</v>
      </c>
      <c r="BB27" s="33">
        <f t="shared" si="15"/>
        <v>121.49255355708247</v>
      </c>
      <c r="BC27" s="33">
        <f t="shared" si="15"/>
        <v>121.49255355708247</v>
      </c>
      <c r="BD27" s="33">
        <f t="shared" si="15"/>
        <v>121.49255355708249</v>
      </c>
      <c r="BE27" s="33">
        <f t="shared" si="15"/>
        <v>121.49255355708247</v>
      </c>
      <c r="BF27" s="33">
        <f t="shared" si="15"/>
        <v>125.75127987013184</v>
      </c>
      <c r="BG27" s="33">
        <f t="shared" si="15"/>
        <v>125.75127987013184</v>
      </c>
      <c r="BH27" s="33">
        <f t="shared" si="15"/>
        <v>125.75127987013184</v>
      </c>
      <c r="BI27" s="33">
        <f t="shared" si="15"/>
        <v>126.03870159817684</v>
      </c>
      <c r="BJ27" s="33">
        <f t="shared" si="15"/>
        <v>126.03870159817684</v>
      </c>
      <c r="BK27" s="33">
        <f t="shared" si="15"/>
        <v>127.37300521259014</v>
      </c>
      <c r="BL27" s="33">
        <f t="shared" si="15"/>
        <v>129.90820440906381</v>
      </c>
      <c r="BM27" s="33">
        <f t="shared" si="15"/>
        <v>130.95914692171306</v>
      </c>
      <c r="BN27" s="33">
        <f t="shared" si="15"/>
        <v>132.20808827777012</v>
      </c>
      <c r="BO27" s="33">
        <f t="shared" si="15"/>
        <v>132.20808827777012</v>
      </c>
      <c r="BP27" s="33">
        <f t="shared" si="15"/>
        <v>133.58821243653654</v>
      </c>
      <c r="BQ27" s="33">
        <f t="shared" si="15"/>
        <v>137.60803813203088</v>
      </c>
      <c r="BR27" s="33">
        <f t="shared" si="15"/>
        <v>137.60803813203088</v>
      </c>
      <c r="BS27" s="33">
        <f t="shared" si="15"/>
        <v>138.48736202526712</v>
      </c>
      <c r="BT27" s="33">
        <f t="shared" si="15"/>
        <v>138.48736202526712</v>
      </c>
      <c r="BU27" s="33">
        <f t="shared" si="15"/>
        <v>138.7049850638688</v>
      </c>
      <c r="BV27" s="33">
        <f t="shared" si="15"/>
        <v>138.7049850638688</v>
      </c>
      <c r="BW27" s="33">
        <f t="shared" si="15"/>
        <v>139.83152107937033</v>
      </c>
      <c r="BX27" s="33">
        <f t="shared" si="15"/>
        <v>139.83152107937033</v>
      </c>
      <c r="BY27" s="33">
        <f t="shared" si="15"/>
        <v>143.39523983227446</v>
      </c>
      <c r="BZ27" s="33">
        <f t="shared" si="15"/>
        <v>143.39523983227446</v>
      </c>
      <c r="CA27" s="33">
        <f t="shared" si="15"/>
        <v>143.39523983227446</v>
      </c>
      <c r="CB27" s="33">
        <f t="shared" si="15"/>
        <v>143.39523983227446</v>
      </c>
      <c r="CC27" s="33">
        <f t="shared" si="15"/>
        <v>151.35782232174529</v>
      </c>
      <c r="CD27" s="33">
        <f t="shared" si="15"/>
        <v>151.35782232174529</v>
      </c>
      <c r="CE27" s="33">
        <f t="shared" si="15"/>
        <v>151.35782232174529</v>
      </c>
      <c r="CF27" s="33">
        <f t="shared" si="15"/>
        <v>151.35782232174529</v>
      </c>
      <c r="CG27" s="33">
        <f t="shared" ref="CG27:EI27" si="16">IF(CF31+CG33=0,0,(CF27*CF31+CG39*CG33)/(CF31+CG33))</f>
        <v>151.35782232174529</v>
      </c>
      <c r="CH27" s="33">
        <f t="shared" si="16"/>
        <v>151.35782232174529</v>
      </c>
      <c r="CI27" s="33">
        <f t="shared" si="16"/>
        <v>152.94333935598834</v>
      </c>
      <c r="CJ27" s="33">
        <f t="shared" si="16"/>
        <v>153.74832810752795</v>
      </c>
      <c r="CK27" s="33">
        <f t="shared" si="16"/>
        <v>155.67576027604517</v>
      </c>
      <c r="CL27" s="33">
        <f t="shared" si="16"/>
        <v>157.97665427233329</v>
      </c>
      <c r="CM27" s="33">
        <f t="shared" si="16"/>
        <v>157.97665427233329</v>
      </c>
      <c r="CN27" s="33">
        <f t="shared" si="16"/>
        <v>157.97665427233329</v>
      </c>
      <c r="CO27" s="33">
        <f t="shared" si="16"/>
        <v>160.63778100304083</v>
      </c>
      <c r="CP27" s="33">
        <f t="shared" si="16"/>
        <v>160.63778100304083</v>
      </c>
      <c r="CQ27" s="33">
        <f t="shared" si="16"/>
        <v>163.32342664778901</v>
      </c>
      <c r="CR27" s="33">
        <f t="shared" si="16"/>
        <v>163.32342664778901</v>
      </c>
      <c r="CS27" s="33">
        <f t="shared" si="16"/>
        <v>163.32342664778901</v>
      </c>
      <c r="CT27" s="33">
        <f t="shared" si="16"/>
        <v>163.32342664778901</v>
      </c>
      <c r="CU27" s="33">
        <f t="shared" si="16"/>
        <v>164.69974813739285</v>
      </c>
      <c r="CV27" s="33">
        <f t="shared" si="16"/>
        <v>164.69974813739285</v>
      </c>
      <c r="CW27" s="33">
        <f t="shared" si="16"/>
        <v>168.1126302474178</v>
      </c>
      <c r="CX27" s="33">
        <f t="shared" si="16"/>
        <v>168.1126302474178</v>
      </c>
      <c r="CY27" s="33">
        <f t="shared" si="16"/>
        <v>168.1126302474178</v>
      </c>
      <c r="CZ27" s="33">
        <f t="shared" si="16"/>
        <v>168.1126302474178</v>
      </c>
      <c r="DA27" s="33">
        <f t="shared" si="16"/>
        <v>173.52000271409236</v>
      </c>
      <c r="DB27" s="33">
        <f t="shared" si="16"/>
        <v>173.52000271409236</v>
      </c>
      <c r="DC27" s="33">
        <f t="shared" si="16"/>
        <v>173.73951577347603</v>
      </c>
      <c r="DD27" s="33">
        <f t="shared" si="16"/>
        <v>173.73951577347603</v>
      </c>
      <c r="DE27" s="33">
        <f t="shared" si="16"/>
        <v>173.73951577347603</v>
      </c>
      <c r="DF27" s="33">
        <f t="shared" si="16"/>
        <v>174.89452786639029</v>
      </c>
      <c r="DG27" s="33">
        <f t="shared" si="16"/>
        <v>175.7822331326125</v>
      </c>
      <c r="DH27" s="33">
        <f t="shared" si="16"/>
        <v>176.39163608513638</v>
      </c>
      <c r="DI27" s="33">
        <f t="shared" si="16"/>
        <v>177.71164229140592</v>
      </c>
      <c r="DJ27" s="33">
        <f t="shared" si="16"/>
        <v>179.48031397473144</v>
      </c>
      <c r="DK27" s="33">
        <f t="shared" si="16"/>
        <v>179.48031397473144</v>
      </c>
      <c r="DL27" s="33">
        <f t="shared" si="16"/>
        <v>179.48031397473144</v>
      </c>
      <c r="DM27" s="33">
        <f t="shared" si="16"/>
        <v>181.68416929728784</v>
      </c>
      <c r="DN27" s="33">
        <f t="shared" si="16"/>
        <v>181.68416929728784</v>
      </c>
      <c r="DO27" s="33">
        <f t="shared" si="16"/>
        <v>183.20095350002583</v>
      </c>
      <c r="DP27" s="33">
        <f t="shared" si="16"/>
        <v>183.20095350002583</v>
      </c>
      <c r="DQ27" s="33">
        <f t="shared" si="16"/>
        <v>183.20095350002583</v>
      </c>
      <c r="DR27" s="33">
        <f t="shared" si="16"/>
        <v>183.20095350002583</v>
      </c>
      <c r="DS27" s="33">
        <f t="shared" si="16"/>
        <v>184.13586768211087</v>
      </c>
      <c r="DT27" s="33">
        <f t="shared" si="16"/>
        <v>184.1358676821109</v>
      </c>
      <c r="DU27" s="33">
        <f t="shared" si="16"/>
        <v>186.04445274200657</v>
      </c>
      <c r="DV27" s="33">
        <f t="shared" si="16"/>
        <v>186.04445274200657</v>
      </c>
      <c r="DW27" s="33">
        <f t="shared" si="16"/>
        <v>188.09325358658219</v>
      </c>
      <c r="DX27" s="33">
        <f t="shared" si="16"/>
        <v>188.09325358658219</v>
      </c>
      <c r="DY27" s="33">
        <f t="shared" si="16"/>
        <v>189.81827832963992</v>
      </c>
      <c r="DZ27" s="33">
        <f t="shared" si="16"/>
        <v>189.81827832963992</v>
      </c>
      <c r="EA27" s="33">
        <f t="shared" si="16"/>
        <v>189.99890849428161</v>
      </c>
      <c r="EB27" s="33">
        <f t="shared" si="16"/>
        <v>189.99890849428161</v>
      </c>
      <c r="EC27" s="33">
        <f t="shared" si="16"/>
        <v>189.99890849428161</v>
      </c>
      <c r="ED27" s="33">
        <f t="shared" si="16"/>
        <v>190.36064489485264</v>
      </c>
      <c r="EE27" s="33">
        <f t="shared" si="16"/>
        <v>191.01639072276538</v>
      </c>
      <c r="EF27" s="33">
        <f t="shared" si="16"/>
        <v>191.47758917252602</v>
      </c>
      <c r="EG27" s="33">
        <f t="shared" si="16"/>
        <v>192.07544216854691</v>
      </c>
      <c r="EH27" s="33">
        <f t="shared" si="16"/>
        <v>193.5978039632962</v>
      </c>
      <c r="EI27" s="33">
        <f t="shared" si="16"/>
        <v>193.5978039632962</v>
      </c>
      <c r="EJ27" s="3"/>
      <c r="EK27" s="3"/>
    </row>
    <row r="28" spans="1:14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x14ac:dyDescent="0.25">
      <c r="A29" s="3"/>
      <c r="B29" s="3"/>
      <c r="C29" s="3"/>
      <c r="D29" s="3"/>
      <c r="E29" s="3"/>
      <c r="F29" s="10" t="str">
        <f>KPI!$F$215</f>
        <v>себестоимость произведенной ГП</v>
      </c>
      <c r="G29" s="3"/>
      <c r="H29" s="3"/>
      <c r="I29" s="3"/>
      <c r="J29" s="5" t="str">
        <f>IF($F29="","",INDEX(KPI!$I$11:$I$275,SUMIFS(KPI!$E$11:$E$275,KPI!$F$11:$F$275,$F29)))</f>
        <v>тыс.руб.</v>
      </c>
      <c r="K29" s="3"/>
      <c r="L29" s="3"/>
      <c r="M29" s="3"/>
      <c r="N29" s="3"/>
      <c r="O29" s="3"/>
      <c r="P29" s="3"/>
      <c r="Q29" s="12">
        <f>SUM(S29:EJ29)</f>
        <v>8348579.9864262221</v>
      </c>
      <c r="R29" s="3"/>
      <c r="S29" s="3"/>
      <c r="T29" s="33">
        <f>T25*T27/1000</f>
        <v>0</v>
      </c>
      <c r="U29" s="33">
        <f t="shared" ref="U29:CF29" si="17">U25*U27/1000</f>
        <v>0</v>
      </c>
      <c r="V29" s="33">
        <f t="shared" si="17"/>
        <v>0</v>
      </c>
      <c r="W29" s="33">
        <f t="shared" si="17"/>
        <v>0</v>
      </c>
      <c r="X29" s="33">
        <f>X25*X27/1000</f>
        <v>2705.3419354838716</v>
      </c>
      <c r="Y29" s="33">
        <f t="shared" si="17"/>
        <v>0</v>
      </c>
      <c r="Z29" s="33">
        <f t="shared" si="17"/>
        <v>222.96774193548379</v>
      </c>
      <c r="AA29" s="33">
        <f t="shared" si="17"/>
        <v>1763.9225806451618</v>
      </c>
      <c r="AB29" s="33">
        <f t="shared" si="17"/>
        <v>1521.1354838709678</v>
      </c>
      <c r="AC29" s="33">
        <f t="shared" si="17"/>
        <v>2529.5931488625238</v>
      </c>
      <c r="AD29" s="33">
        <f t="shared" si="17"/>
        <v>2803.2047777579969</v>
      </c>
      <c r="AE29" s="33">
        <f t="shared" si="17"/>
        <v>917.12984410936394</v>
      </c>
      <c r="AF29" s="33">
        <f t="shared" si="17"/>
        <v>7031.1821859341835</v>
      </c>
      <c r="AG29" s="33">
        <f t="shared" si="17"/>
        <v>2078.0739642758153</v>
      </c>
      <c r="AH29" s="33">
        <f t="shared" si="17"/>
        <v>6529.0972012769407</v>
      </c>
      <c r="AI29" s="33">
        <f t="shared" si="17"/>
        <v>2651.885375312665</v>
      </c>
      <c r="AJ29" s="33">
        <f t="shared" si="17"/>
        <v>2730.4763848181633</v>
      </c>
      <c r="AK29" s="33">
        <f t="shared" si="17"/>
        <v>2708.6038708112783</v>
      </c>
      <c r="AL29" s="33">
        <f t="shared" si="17"/>
        <v>3095.5158161920617</v>
      </c>
      <c r="AM29" s="33">
        <f t="shared" si="17"/>
        <v>4831.0323718821064</v>
      </c>
      <c r="AN29" s="33">
        <f t="shared" si="17"/>
        <v>8514.3452598945114</v>
      </c>
      <c r="AO29" s="33">
        <f t="shared" si="17"/>
        <v>7924.7715600270194</v>
      </c>
      <c r="AP29" s="33">
        <f t="shared" si="17"/>
        <v>12691.090170215115</v>
      </c>
      <c r="AQ29" s="33">
        <f t="shared" si="17"/>
        <v>1218.310216475875</v>
      </c>
      <c r="AR29" s="33">
        <f t="shared" si="17"/>
        <v>19769.832159139401</v>
      </c>
      <c r="AS29" s="33">
        <f t="shared" si="17"/>
        <v>6917.152298932846</v>
      </c>
      <c r="AT29" s="33">
        <f t="shared" si="17"/>
        <v>18239.466724306301</v>
      </c>
      <c r="AU29" s="33">
        <f t="shared" si="17"/>
        <v>8570.2977591099352</v>
      </c>
      <c r="AV29" s="33">
        <f t="shared" si="17"/>
        <v>7033.8229753784226</v>
      </c>
      <c r="AW29" s="33">
        <f t="shared" si="17"/>
        <v>8203.7580103132241</v>
      </c>
      <c r="AX29" s="33">
        <f t="shared" si="17"/>
        <v>7910.6972367658373</v>
      </c>
      <c r="AY29" s="33">
        <f t="shared" si="17"/>
        <v>13719.091658807063</v>
      </c>
      <c r="AZ29" s="33">
        <f t="shared" si="17"/>
        <v>21511.771529871294</v>
      </c>
      <c r="BA29" s="33">
        <f t="shared" si="17"/>
        <v>22241.597291906295</v>
      </c>
      <c r="BB29" s="33">
        <f t="shared" si="17"/>
        <v>35078.427415097482</v>
      </c>
      <c r="BC29" s="33">
        <f t="shared" si="17"/>
        <v>4316.5128544442241</v>
      </c>
      <c r="BD29" s="33">
        <f t="shared" si="17"/>
        <v>31169.110570801055</v>
      </c>
      <c r="BE29" s="33">
        <f t="shared" si="17"/>
        <v>19442.707412481519</v>
      </c>
      <c r="BF29" s="33">
        <f t="shared" si="17"/>
        <v>32694.969080663996</v>
      </c>
      <c r="BG29" s="33">
        <f t="shared" si="17"/>
        <v>21824.295482386719</v>
      </c>
      <c r="BH29" s="33">
        <f t="shared" si="17"/>
        <v>9907.6202203263929</v>
      </c>
      <c r="BI29" s="33">
        <f t="shared" si="17"/>
        <v>21127.093651646777</v>
      </c>
      <c r="BJ29" s="33">
        <f t="shared" si="17"/>
        <v>10890.802318857828</v>
      </c>
      <c r="BK29" s="33">
        <f t="shared" si="17"/>
        <v>32244.228324340176</v>
      </c>
      <c r="BL29" s="33">
        <f t="shared" si="17"/>
        <v>40045.923594891967</v>
      </c>
      <c r="BM29" s="33">
        <f t="shared" si="17"/>
        <v>49785.977020557621</v>
      </c>
      <c r="BN29" s="33">
        <f t="shared" si="17"/>
        <v>66951.286216506254</v>
      </c>
      <c r="BO29" s="33">
        <f t="shared" si="17"/>
        <v>13429.099067857389</v>
      </c>
      <c r="BP29" s="33">
        <f t="shared" si="17"/>
        <v>44312.116503570491</v>
      </c>
      <c r="BQ29" s="33">
        <f t="shared" si="17"/>
        <v>58865.565514233815</v>
      </c>
      <c r="BR29" s="33">
        <f t="shared" si="17"/>
        <v>42875.603324029013</v>
      </c>
      <c r="BS29" s="33">
        <f t="shared" si="17"/>
        <v>66067.806874193455</v>
      </c>
      <c r="BT29" s="33">
        <f t="shared" si="17"/>
        <v>2693.4020384811006</v>
      </c>
      <c r="BU29" s="33">
        <f t="shared" si="17"/>
        <v>61589.888871726034</v>
      </c>
      <c r="BV29" s="33">
        <f t="shared" si="17"/>
        <v>3198.7622161713894</v>
      </c>
      <c r="BW29" s="33">
        <f t="shared" si="17"/>
        <v>81431.96731177441</v>
      </c>
      <c r="BX29" s="33">
        <f t="shared" si="17"/>
        <v>54971.426154037174</v>
      </c>
      <c r="BY29" s="33">
        <f t="shared" si="17"/>
        <v>118144.21537680886</v>
      </c>
      <c r="BZ29" s="33">
        <f t="shared" si="17"/>
        <v>106551.49978746739</v>
      </c>
      <c r="CA29" s="33">
        <f t="shared" si="17"/>
        <v>58417.78516021766</v>
      </c>
      <c r="CB29" s="33">
        <f t="shared" si="17"/>
        <v>24322.193353584276</v>
      </c>
      <c r="CC29" s="33">
        <f t="shared" si="17"/>
        <v>120893.3481879678</v>
      </c>
      <c r="CD29" s="33">
        <f t="shared" si="17"/>
        <v>21788.253157463241</v>
      </c>
      <c r="CE29" s="33">
        <f t="shared" si="17"/>
        <v>130405.45494432989</v>
      </c>
      <c r="CF29" s="33">
        <f t="shared" si="17"/>
        <v>0</v>
      </c>
      <c r="CG29" s="33">
        <f t="shared" ref="CG29:EI29" si="18">CG25*CG27/1000</f>
        <v>54856.519577486346</v>
      </c>
      <c r="CH29" s="33">
        <f t="shared" si="18"/>
        <v>35284.387380709188</v>
      </c>
      <c r="CI29" s="33">
        <f t="shared" si="18"/>
        <v>82404.442185995737</v>
      </c>
      <c r="CJ29" s="33">
        <f t="shared" si="18"/>
        <v>108385.08057412643</v>
      </c>
      <c r="CK29" s="33">
        <f t="shared" si="18"/>
        <v>131820.76177280644</v>
      </c>
      <c r="CL29" s="33">
        <f t="shared" si="18"/>
        <v>181849.93162808655</v>
      </c>
      <c r="CM29" s="33">
        <f t="shared" si="18"/>
        <v>49874.301675456358</v>
      </c>
      <c r="CN29" s="33">
        <f t="shared" si="18"/>
        <v>60328.173936481151</v>
      </c>
      <c r="CO29" s="33">
        <f t="shared" si="18"/>
        <v>130808.43504904539</v>
      </c>
      <c r="CP29" s="33">
        <f t="shared" si="18"/>
        <v>56251.669997044017</v>
      </c>
      <c r="CQ29" s="33">
        <f t="shared" si="18"/>
        <v>145674.54092602315</v>
      </c>
      <c r="CR29" s="33">
        <f t="shared" si="18"/>
        <v>0</v>
      </c>
      <c r="CS29" s="33">
        <f t="shared" si="18"/>
        <v>101270.48016543382</v>
      </c>
      <c r="CT29" s="33">
        <f t="shared" si="18"/>
        <v>18882.876871000884</v>
      </c>
      <c r="CU29" s="33">
        <f t="shared" si="18"/>
        <v>138005.05174039846</v>
      </c>
      <c r="CV29" s="33">
        <f t="shared" si="18"/>
        <v>115037.51613985146</v>
      </c>
      <c r="CW29" s="33">
        <f t="shared" si="18"/>
        <v>204821.32270908303</v>
      </c>
      <c r="CX29" s="33">
        <f t="shared" si="18"/>
        <v>210076.31035108608</v>
      </c>
      <c r="CY29" s="33">
        <f t="shared" si="18"/>
        <v>94537.268071548038</v>
      </c>
      <c r="CZ29" s="33">
        <f t="shared" si="18"/>
        <v>0</v>
      </c>
      <c r="DA29" s="33">
        <f t="shared" si="18"/>
        <v>215568.82124053684</v>
      </c>
      <c r="DB29" s="33">
        <f t="shared" si="18"/>
        <v>12794.311141166452</v>
      </c>
      <c r="DC29" s="33">
        <f t="shared" si="18"/>
        <v>225717.04495448462</v>
      </c>
      <c r="DD29" s="33">
        <f t="shared" si="18"/>
        <v>0</v>
      </c>
      <c r="DE29" s="33">
        <f t="shared" si="18"/>
        <v>80759.460869927105</v>
      </c>
      <c r="DF29" s="33">
        <f t="shared" si="18"/>
        <v>62455.672437761707</v>
      </c>
      <c r="DG29" s="33">
        <f t="shared" si="18"/>
        <v>118702.63309395638</v>
      </c>
      <c r="DH29" s="33">
        <f t="shared" si="18"/>
        <v>166230.61452827998</v>
      </c>
      <c r="DI29" s="33">
        <f t="shared" si="18"/>
        <v>198015.20730705032</v>
      </c>
      <c r="DJ29" s="33">
        <f t="shared" si="18"/>
        <v>275162.1278255728</v>
      </c>
      <c r="DK29" s="33">
        <f t="shared" si="18"/>
        <v>98342.195243390903</v>
      </c>
      <c r="DL29" s="33">
        <f t="shared" si="18"/>
        <v>66733.376112981467</v>
      </c>
      <c r="DM29" s="33">
        <f t="shared" si="18"/>
        <v>181940.58851197595</v>
      </c>
      <c r="DN29" s="33">
        <f t="shared" si="18"/>
        <v>68607.741728638735</v>
      </c>
      <c r="DO29" s="33">
        <f t="shared" si="18"/>
        <v>200302.18172758777</v>
      </c>
      <c r="DP29" s="33">
        <f t="shared" si="18"/>
        <v>0</v>
      </c>
      <c r="DQ29" s="33">
        <f t="shared" si="18"/>
        <v>145947.62038746107</v>
      </c>
      <c r="DR29" s="33">
        <f t="shared" si="18"/>
        <v>15387.412856110066</v>
      </c>
      <c r="DS29" s="33">
        <f t="shared" si="18"/>
        <v>188212.09096344019</v>
      </c>
      <c r="DT29" s="33">
        <f t="shared" si="18"/>
        <v>130936.94679655394</v>
      </c>
      <c r="DU29" s="33">
        <f t="shared" si="18"/>
        <v>277663.83357769542</v>
      </c>
      <c r="DV29" s="33">
        <f t="shared" si="18"/>
        <v>250042.25447406707</v>
      </c>
      <c r="DW29" s="33">
        <f t="shared" si="18"/>
        <v>166591.45385444773</v>
      </c>
      <c r="DX29" s="33">
        <f t="shared" si="18"/>
        <v>2146.3971856442249</v>
      </c>
      <c r="DY29" s="33">
        <f t="shared" si="18"/>
        <v>258497.27629873433</v>
      </c>
      <c r="DZ29" s="33">
        <f t="shared" si="18"/>
        <v>3268.2526881078179</v>
      </c>
      <c r="EA29" s="33">
        <f t="shared" si="18"/>
        <v>276210.90265632555</v>
      </c>
      <c r="EB29" s="33">
        <f t="shared" si="18"/>
        <v>0</v>
      </c>
      <c r="EC29" s="33">
        <f t="shared" si="18"/>
        <v>82887.034397866752</v>
      </c>
      <c r="ED29" s="33">
        <f t="shared" si="18"/>
        <v>84595.338904022632</v>
      </c>
      <c r="EE29" s="33">
        <f t="shared" si="18"/>
        <v>126402.0262750883</v>
      </c>
      <c r="EF29" s="33">
        <f t="shared" si="18"/>
        <v>205166.68197477868</v>
      </c>
      <c r="EG29" s="33">
        <f t="shared" si="18"/>
        <v>217440.2541860324</v>
      </c>
      <c r="EH29" s="33">
        <f t="shared" si="18"/>
        <v>329967.14954407699</v>
      </c>
      <c r="EI29" s="33">
        <f t="shared" si="18"/>
        <v>101693.50238956929</v>
      </c>
      <c r="EJ29" s="3"/>
      <c r="EK29" s="3"/>
    </row>
    <row r="30" spans="1:14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x14ac:dyDescent="0.25">
      <c r="A31" s="3"/>
      <c r="B31" s="3"/>
      <c r="C31" s="3"/>
      <c r="D31" s="3"/>
      <c r="E31" s="3"/>
      <c r="F31" s="10" t="str">
        <f>KPI!$F$35</f>
        <v>запасы СиМ в количестве единиц ГП на конец периода</v>
      </c>
      <c r="G31" s="3"/>
      <c r="H31" s="3"/>
      <c r="I31" s="3"/>
      <c r="J31" s="5" t="str">
        <f>IF($F31="","",INDEX(KPI!$I$11:$I$275,SUMIFS(KPI!$E$11:$E$275,KPI!$F$11:$F$275,$F31)))</f>
        <v>ед. ГП</v>
      </c>
      <c r="K31" s="3"/>
      <c r="L31" s="3"/>
      <c r="M31" s="3"/>
      <c r="N31" s="3"/>
      <c r="O31" s="3"/>
      <c r="P31" s="3"/>
      <c r="Q31" s="12"/>
      <c r="R31" s="3"/>
      <c r="S31" s="3"/>
      <c r="T31" s="33">
        <f>IF(T$9="",0,IF(2*T25*SUMIFS(условия!$81:$81,условия!$8:$8,"&lt;="&amp;T$9,условия!$9:$9,"&gt;="&amp;T$9)/DAY(EOMONTH(T$9,0))-2*S31+T25&lt;0,S31-T25,IF(OR(2*T25*SUMIFS(условия!$81:$81,условия!$8:$8,"&lt;="&amp;T$9,условия!$9:$9,"&gt;="&amp;T$9)/DAY(EOMONTH(T$9,0))-S31&lt;0,DAY(EOMONTH(T$9,0))=0),0,2*T25*SUMIFS(условия!$81:$81,условия!$8:$8,"&lt;="&amp;T$9,условия!$9:$9,"&gt;="&amp;T$9)/DAY(EOMONTH(T$9,0))-S31)))</f>
        <v>0</v>
      </c>
      <c r="U31" s="33">
        <f>IF(U$9="",0,IF(2*U25*SUMIFS(условия!$81:$81,условия!$8:$8,"&lt;="&amp;U$9,условия!$9:$9,"&gt;="&amp;U$9)/DAY(EOMONTH(U$9,0))-2*T31+U25&lt;0,T31-U25,IF(OR(2*U25*SUMIFS(условия!$81:$81,условия!$8:$8,"&lt;="&amp;U$9,условия!$9:$9,"&gt;="&amp;U$9)/DAY(EOMONTH(U$9,0))-T31&lt;0,DAY(EOMONTH(U$9,0))=0),0,2*U25*SUMIFS(условия!$81:$81,условия!$8:$8,"&lt;="&amp;U$9,условия!$9:$9,"&gt;="&amp;U$9)/DAY(EOMONTH(U$9,0))-T31)))</f>
        <v>0</v>
      </c>
      <c r="V31" s="33">
        <f>IF(V$9="",0,IF(2*V25*SUMIFS(условия!$81:$81,условия!$8:$8,"&lt;="&amp;V$9,условия!$9:$9,"&gt;="&amp;V$9)/DAY(EOMONTH(V$9,0))-2*U31+V25&lt;0,U31-V25,IF(OR(2*V25*SUMIFS(условия!$81:$81,условия!$8:$8,"&lt;="&amp;V$9,условия!$9:$9,"&gt;="&amp;V$9)/DAY(EOMONTH(V$9,0))-U31&lt;0,DAY(EOMONTH(V$9,0))=0),0,2*V25*SUMIFS(условия!$81:$81,условия!$8:$8,"&lt;="&amp;V$9,условия!$9:$9,"&gt;="&amp;V$9)/DAY(EOMONTH(V$9,0))-U31)))</f>
        <v>0</v>
      </c>
      <c r="W31" s="33">
        <f>IF(W$9="",0,IF(2*W25*SUMIFS(условия!$81:$81,условия!$8:$8,"&lt;="&amp;W$9,условия!$9:$9,"&gt;="&amp;W$9)/DAY(EOMONTH(W$9,0))-2*V31+W25&lt;0,V31-W25,IF(OR(2*W25*SUMIFS(условия!$81:$81,условия!$8:$8,"&lt;="&amp;W$9,условия!$9:$9,"&gt;="&amp;W$9)/DAY(EOMONTH(W$9,0))-V31&lt;0,DAY(EOMONTH(W$9,0))=0),0,2*W25*SUMIFS(условия!$81:$81,условия!$8:$8,"&lt;="&amp;W$9,условия!$9:$9,"&gt;="&amp;W$9)/DAY(EOMONTH(W$9,0))-V31)))</f>
        <v>0</v>
      </c>
      <c r="X31" s="33">
        <f>IF(X$9="",0,IF(2*X25*SUMIFS(условия!$81:$81,условия!$8:$8,"&lt;="&amp;X$9,условия!$9:$9,"&gt;="&amp;X$9)/DAY(EOMONTH(X$9,0))-2*W31+X25&lt;0,W31-X25,IF(OR(2*X25*SUMIFS(условия!$81:$81,условия!$8:$8,"&lt;="&amp;X$9,условия!$9:$9,"&gt;="&amp;X$9)/DAY(EOMONTH(X$9,0))-W31&lt;0,DAY(EOMONTH(X$9,0))=0),0,2*X25*SUMIFS(условия!$81:$81,условия!$8:$8,"&lt;="&amp;X$9,условия!$9:$9,"&gt;="&amp;X$9)/DAY(EOMONTH(X$9,0))-W31)))</f>
        <v>76701.352757544228</v>
      </c>
      <c r="Y31" s="33">
        <f>IF(Y$9="",0,IF(2*Y25*SUMIFS(условия!$81:$81,условия!$8:$8,"&lt;="&amp;Y$9,условия!$9:$9,"&gt;="&amp;Y$9)/DAY(EOMONTH(Y$9,0))-2*X31+Y25&lt;0,X31-Y25,IF(OR(2*Y25*SUMIFS(условия!$81:$81,условия!$8:$8,"&lt;="&amp;Y$9,условия!$9:$9,"&gt;="&amp;Y$9)/DAY(EOMONTH(Y$9,0))-X31&lt;0,DAY(EOMONTH(Y$9,0))=0),0,2*Y25*SUMIFS(условия!$81:$81,условия!$8:$8,"&lt;="&amp;Y$9,условия!$9:$9,"&gt;="&amp;Y$9)/DAY(EOMONTH(Y$9,0))-X31)))</f>
        <v>76701.352757544228</v>
      </c>
      <c r="Z31" s="33">
        <f>IF(Z$9="",0,IF(2*Z25*SUMIFS(условия!$81:$81,условия!$8:$8,"&lt;="&amp;Z$9,условия!$9:$9,"&gt;="&amp;Z$9)/DAY(EOMONTH(Z$9,0))-2*Y31+Z25&lt;0,Y31-Z25,IF(OR(2*Z25*SUMIFS(условия!$81:$81,условия!$8:$8,"&lt;="&amp;Z$9,условия!$9:$9,"&gt;="&amp;Z$9)/DAY(EOMONTH(Z$9,0))-Y31&lt;0,DAY(EOMONTH(Z$9,0))=0),0,2*Z25*SUMIFS(условия!$81:$81,условия!$8:$8,"&lt;="&amp;Z$9,условия!$9:$9,"&gt;="&amp;Z$9)/DAY(EOMONTH(Z$9,0))-Y31)))</f>
        <v>74523.933402705516</v>
      </c>
      <c r="AA31" s="33">
        <f>IF(AA$9="",0,IF(2*AA25*SUMIFS(условия!$81:$81,условия!$8:$8,"&lt;="&amp;AA$9,условия!$9:$9,"&gt;="&amp;AA$9)/DAY(EOMONTH(AA$9,0))-2*Z31+AA25&lt;0,Z31-AA25,IF(OR(2*AA25*SUMIFS(условия!$81:$81,условия!$8:$8,"&lt;="&amp;AA$9,условия!$9:$9,"&gt;="&amp;AA$9)/DAY(EOMONTH(AA$9,0))-Z31&lt;0,DAY(EOMONTH(AA$9,0))=0),0,2*AA25*SUMIFS(условия!$81:$81,условия!$8:$8,"&lt;="&amp;AA$9,условия!$9:$9,"&gt;="&amp;AA$9)/DAY(EOMONTH(AA$9,0))-Z31)))</f>
        <v>57298.126951092607</v>
      </c>
      <c r="AB31" s="33">
        <f>IF(AB$9="",0,IF(2*AB25*SUMIFS(условия!$81:$81,условия!$8:$8,"&lt;="&amp;AB$9,условия!$9:$9,"&gt;="&amp;AB$9)/DAY(EOMONTH(AB$9,0))-2*AA31+AB25&lt;0,AA31-AB25,IF(OR(2*AB25*SUMIFS(условия!$81:$81,условия!$8:$8,"&lt;="&amp;AB$9,условия!$9:$9,"&gt;="&amp;AB$9)/DAY(EOMONTH(AB$9,0))-AA31&lt;0,DAY(EOMONTH(AB$9,0))=0),0,2*AB25*SUMIFS(условия!$81:$81,условия!$8:$8,"&lt;="&amp;AB$9,условия!$9:$9,"&gt;="&amp;AB$9)/DAY(EOMONTH(AB$9,0))-AA31)))</f>
        <v>42443.28824141519</v>
      </c>
      <c r="AC31" s="33">
        <f>IF(AC$9="",0,IF(2*AC25*SUMIFS(условия!$81:$81,условия!$8:$8,"&lt;="&amp;AC$9,условия!$9:$9,"&gt;="&amp;AC$9)/DAY(EOMONTH(AC$9,0))-2*AB31+AC25&lt;0,AB31-AC25,IF(OR(2*AC25*SUMIFS(условия!$81:$81,условия!$8:$8,"&lt;="&amp;AC$9,условия!$9:$9,"&gt;="&amp;AC$9)/DAY(EOMONTH(AC$9,0))-AB31&lt;0,DAY(EOMONTH(AC$9,0))=0),0,2*AC25*SUMIFS(условия!$81:$81,условия!$8:$8,"&lt;="&amp;AC$9,условия!$9:$9,"&gt;="&amp;AC$9)/DAY(EOMONTH(AC$9,0))-AB31)))</f>
        <v>28638.91779396464</v>
      </c>
      <c r="AD31" s="33">
        <f>IF(AD$9="",0,IF(2*AD25*SUMIFS(условия!$81:$81,условия!$8:$8,"&lt;="&amp;AD$9,условия!$9:$9,"&gt;="&amp;AD$9)/DAY(EOMONTH(AD$9,0))-2*AC31+AD25&lt;0,AC31-AD25,IF(OR(2*AD25*SUMIFS(условия!$81:$81,условия!$8:$8,"&lt;="&amp;AD$9,условия!$9:$9,"&gt;="&amp;AD$9)/DAY(EOMONTH(AD$9,0))-AC31&lt;0,DAY(EOMONTH(AD$9,0))=0),0,2*AD25*SUMIFS(условия!$81:$81,условия!$8:$8,"&lt;="&amp;AD$9,условия!$9:$9,"&gt;="&amp;AD$9)/DAY(EOMONTH(AD$9,0))-AC31)))</f>
        <v>49893.340270551482</v>
      </c>
      <c r="AE31" s="33">
        <f>IF(AE$9="",0,IF(2*AE25*SUMIFS(условия!$81:$81,условия!$8:$8,"&lt;="&amp;AE$9,условия!$9:$9,"&gt;="&amp;AE$9)/DAY(EOMONTH(AE$9,0))-2*AD31+AE25&lt;0,AD31-AE25,IF(OR(2*AE25*SUMIFS(условия!$81:$81,условия!$8:$8,"&lt;="&amp;AE$9,условия!$9:$9,"&gt;="&amp;AE$9)/DAY(EOMONTH(AE$9,0))-AD31&lt;0,DAY(EOMONTH(AE$9,0))=0),0,2*AE25*SUMIFS(условия!$81:$81,условия!$8:$8,"&lt;="&amp;AE$9,условия!$9:$9,"&gt;="&amp;AE$9)/DAY(EOMONTH(AE$9,0))-AD31)))</f>
        <v>41328.824141519217</v>
      </c>
      <c r="AF31" s="33">
        <f>IF(AF$9="",0,IF(2*AF25*SUMIFS(условия!$81:$81,условия!$8:$8,"&lt;="&amp;AF$9,условия!$9:$9,"&gt;="&amp;AF$9)/DAY(EOMONTH(AF$9,0))-2*AE31+AF25&lt;0,AE31-AF25,IF(OR(2*AF25*SUMIFS(условия!$81:$81,условия!$8:$8,"&lt;="&amp;AF$9,условия!$9:$9,"&gt;="&amp;AF$9)/DAY(EOMONTH(AF$9,0))-AE31&lt;0,DAY(EOMONTH(AF$9,0))=0),0,2*AF25*SUMIFS(условия!$81:$81,условия!$8:$8,"&lt;="&amp;AF$9,условия!$9:$9,"&gt;="&amp;AF$9)/DAY(EOMONTH(AF$9,0))-AE31)))</f>
        <v>156970.8636836629</v>
      </c>
      <c r="AG31" s="33">
        <f>IF(AG$9="",0,IF(2*AG25*SUMIFS(условия!$81:$81,условия!$8:$8,"&lt;="&amp;AG$9,условия!$9:$9,"&gt;="&amp;AG$9)/DAY(EOMONTH(AG$9,0))-2*AF31+AG25&lt;0,AF31-AG25,IF(OR(2*AG25*SUMIFS(условия!$81:$81,условия!$8:$8,"&lt;="&amp;AG$9,условия!$9:$9,"&gt;="&amp;AG$9)/DAY(EOMONTH(AG$9,0))-AF31&lt;0,DAY(EOMONTH(AG$9,0))=0),0,2*AG25*SUMIFS(условия!$81:$81,условия!$8:$8,"&lt;="&amp;AG$9,условия!$9:$9,"&gt;="&amp;AG$9)/DAY(EOMONTH(AG$9,0))-AF31)))</f>
        <v>136783.76690946936</v>
      </c>
      <c r="AH31" s="33">
        <f>IF(AH$9="",0,IF(2*AH25*SUMIFS(условия!$81:$81,условия!$8:$8,"&lt;="&amp;AH$9,условия!$9:$9,"&gt;="&amp;AH$9)/DAY(EOMONTH(AH$9,0))-2*AG31+AH25&lt;0,AG31-AH25,IF(OR(2*AH25*SUMIFS(условия!$81:$81,условия!$8:$8,"&lt;="&amp;AH$9,условия!$9:$9,"&gt;="&amp;AH$9)/DAY(EOMONTH(AH$9,0))-AG31&lt;0,DAY(EOMONTH(AH$9,0))=0),0,2*AH25*SUMIFS(условия!$81:$81,условия!$8:$8,"&lt;="&amp;AH$9,условия!$9:$9,"&gt;="&amp;AH$9)/DAY(EOMONTH(AH$9,0))-AG31)))</f>
        <v>73357.960457856447</v>
      </c>
      <c r="AI31" s="33">
        <f>IF(AI$9="",0,IF(2*AI25*SUMIFS(условия!$81:$81,условия!$8:$8,"&lt;="&amp;AI$9,условия!$9:$9,"&gt;="&amp;AI$9)/DAY(EOMONTH(AI$9,0))-2*AH31+AI25&lt;0,AH31-AI25,IF(OR(2*AI25*SUMIFS(условия!$81:$81,условия!$8:$8,"&lt;="&amp;AI$9,условия!$9:$9,"&gt;="&amp;AI$9)/DAY(EOMONTH(AI$9,0))-AH31&lt;0,DAY(EOMONTH(AI$9,0))=0),0,2*AI25*SUMIFS(условия!$81:$81,условия!$8:$8,"&lt;="&amp;AI$9,условия!$9:$9,"&gt;="&amp;AI$9)/DAY(EOMONTH(AI$9,0))-AH31)))</f>
        <v>47596.67013527581</v>
      </c>
      <c r="AJ31" s="33">
        <f>IF(AJ$9="",0,IF(2*AJ25*SUMIFS(условия!$81:$81,условия!$8:$8,"&lt;="&amp;AJ$9,условия!$9:$9,"&gt;="&amp;AJ$9)/DAY(EOMONTH(AJ$9,0))-2*AI31+AJ25&lt;0,AI31-AJ25,IF(OR(2*AJ25*SUMIFS(условия!$81:$81,условия!$8:$8,"&lt;="&amp;AJ$9,условия!$9:$9,"&gt;="&amp;AJ$9)/DAY(EOMONTH(AJ$9,0))-AI31&lt;0,DAY(EOMONTH(AJ$9,0))=0),0,2*AJ25*SUMIFS(условия!$81:$81,условия!$8:$8,"&lt;="&amp;AJ$9,условия!$9:$9,"&gt;="&amp;AJ$9)/DAY(EOMONTH(AJ$9,0))-AI31)))</f>
        <v>28318.002081165425</v>
      </c>
      <c r="AK31" s="33">
        <f>IF(AK$9="",0,IF(2*AK25*SUMIFS(условия!$81:$81,условия!$8:$8,"&lt;="&amp;AK$9,условия!$9:$9,"&gt;="&amp;AK$9)/DAY(EOMONTH(AK$9,0))-2*AJ31+AK25&lt;0,AJ31-AK25,IF(OR(2*AK25*SUMIFS(условия!$81:$81,условия!$8:$8,"&lt;="&amp;AK$9,условия!$9:$9,"&gt;="&amp;AK$9)/DAY(EOMONTH(AK$9,0))-AJ31&lt;0,DAY(EOMONTH(AK$9,0))=0),0,2*AK25*SUMIFS(условия!$81:$81,условия!$8:$8,"&lt;="&amp;AK$9,условия!$9:$9,"&gt;="&amp;AK$9)/DAY(EOMONTH(AK$9,0))-AJ31)))</f>
        <v>45307.80437044744</v>
      </c>
      <c r="AL31" s="33">
        <f>IF(AL$9="",0,IF(2*AL25*SUMIFS(условия!$81:$81,условия!$8:$8,"&lt;="&amp;AL$9,условия!$9:$9,"&gt;="&amp;AL$9)/DAY(EOMONTH(AL$9,0))-2*AK31+AL25&lt;0,AK31-AL25,IF(OR(2*AL25*SUMIFS(условия!$81:$81,условия!$8:$8,"&lt;="&amp;AL$9,условия!$9:$9,"&gt;="&amp;AL$9)/DAY(EOMONTH(AL$9,0))-AK31&lt;0,DAY(EOMONTH(AL$9,0))=0),0,2*AL25*SUMIFS(условия!$81:$81,условия!$8:$8,"&lt;="&amp;AL$9,условия!$9:$9,"&gt;="&amp;AL$9)/DAY(EOMONTH(AL$9,0))-AK31)))</f>
        <v>35158.37669094697</v>
      </c>
      <c r="AM31" s="33">
        <f>IF(AM$9="",0,IF(2*AM25*SUMIFS(условия!$81:$81,условия!$8:$8,"&lt;="&amp;AM$9,условия!$9:$9,"&gt;="&amp;AM$9)/DAY(EOMONTH(AM$9,0))-2*AL31+AM25&lt;0,AL31-AM25,IF(OR(2*AM25*SUMIFS(условия!$81:$81,условия!$8:$8,"&lt;="&amp;AM$9,условия!$9:$9,"&gt;="&amp;AM$9)/DAY(EOMONTH(AM$9,0))-AL31&lt;0,DAY(EOMONTH(AM$9,0))=0),0,2*AM25*SUMIFS(условия!$81:$81,условия!$8:$8,"&lt;="&amp;AM$9,условия!$9:$9,"&gt;="&amp;AM$9)/DAY(EOMONTH(AM$9,0))-AL31)))</f>
        <v>87170.447450572261</v>
      </c>
      <c r="AN31" s="33">
        <f>IF(AN$9="",0,IF(2*AN25*SUMIFS(условия!$81:$81,условия!$8:$8,"&lt;="&amp;AN$9,условия!$9:$9,"&gt;="&amp;AN$9)/DAY(EOMONTH(AN$9,0))-2*AM31+AN25&lt;0,AM31-AN25,IF(OR(2*AN25*SUMIFS(условия!$81:$81,условия!$8:$8,"&lt;="&amp;AN$9,условия!$9:$9,"&gt;="&amp;AN$9)/DAY(EOMONTH(AN$9,0))-AM31&lt;0,DAY(EOMONTH(AN$9,0))=0),0,2*AN25*SUMIFS(условия!$81:$81,условия!$8:$8,"&lt;="&amp;AN$9,условия!$9:$9,"&gt;="&amp;AN$9)/DAY(EOMONTH(AN$9,0))-AM31)))</f>
        <v>132894.06867846003</v>
      </c>
      <c r="AO31" s="33">
        <f>IF(AO$9="",0,IF(2*AO25*SUMIFS(условия!$81:$81,условия!$8:$8,"&lt;="&amp;AO$9,условия!$9:$9,"&gt;="&amp;AO$9)/DAY(EOMONTH(AO$9,0))-2*AN31+AO25&lt;0,AN31-AO25,IF(OR(2*AO25*SUMIFS(условия!$81:$81,условия!$8:$8,"&lt;="&amp;AO$9,условия!$9:$9,"&gt;="&amp;AO$9)/DAY(EOMONTH(AO$9,0))-AN31&lt;0,DAY(EOMONTH(AO$9,0))=0),0,2*AO25*SUMIFS(условия!$81:$81,условия!$8:$8,"&lt;="&amp;AO$9,условия!$9:$9,"&gt;="&amp;AO$9)/DAY(EOMONTH(AO$9,0))-AN31)))</f>
        <v>65293.236212278774</v>
      </c>
      <c r="AP31" s="33">
        <f>IF(AP$9="",0,IF(2*AP25*SUMIFS(условия!$81:$81,условия!$8:$8,"&lt;="&amp;AP$9,условия!$9:$9,"&gt;="&amp;AP$9)/DAY(EOMONTH(AP$9,0))-2*AO31+AP25&lt;0,AO31-AP25,IF(OR(2*AP25*SUMIFS(условия!$81:$81,условия!$8:$8,"&lt;="&amp;AP$9,условия!$9:$9,"&gt;="&amp;AP$9)/DAY(EOMONTH(AP$9,0))-AO31&lt;0,DAY(EOMONTH(AP$9,0))=0),0,2*AP25*SUMIFS(условия!$81:$81,условия!$8:$8,"&lt;="&amp;AP$9,условия!$9:$9,"&gt;="&amp;AP$9)/DAY(EOMONTH(AP$9,0))-AO31)))</f>
        <v>277055.15088449541</v>
      </c>
      <c r="AQ31" s="33">
        <f>IF(AQ$9="",0,IF(2*AQ25*SUMIFS(условия!$81:$81,условия!$8:$8,"&lt;="&amp;AQ$9,условия!$9:$9,"&gt;="&amp;AQ$9)/DAY(EOMONTH(AQ$9,0))-2*AP31+AQ25&lt;0,AP31-AQ25,IF(OR(2*AQ25*SUMIFS(условия!$81:$81,условия!$8:$8,"&lt;="&amp;AQ$9,условия!$9:$9,"&gt;="&amp;AQ$9)/DAY(EOMONTH(AQ$9,0))-AP31&lt;0,DAY(EOMONTH(AQ$9,0))=0),0,2*AQ25*SUMIFS(условия!$81:$81,условия!$8:$8,"&lt;="&amp;AQ$9,условия!$9:$9,"&gt;="&amp;AQ$9)/DAY(EOMONTH(AQ$9,0))-AP31)))</f>
        <v>266100.31217481801</v>
      </c>
      <c r="AR31" s="33">
        <f>IF(AR$9="",0,IF(2*AR25*SUMIFS(условия!$81:$81,условия!$8:$8,"&lt;="&amp;AR$9,условия!$9:$9,"&gt;="&amp;AR$9)/DAY(EOMONTH(AR$9,0))-2*AQ31+AR25&lt;0,AQ31-AR25,IF(OR(2*AR25*SUMIFS(условия!$81:$81,условия!$8:$8,"&lt;="&amp;AR$9,условия!$9:$9,"&gt;="&amp;AR$9)/DAY(EOMONTH(AR$9,0))-AQ31&lt;0,DAY(EOMONTH(AR$9,0))=0),0,2*AR25*SUMIFS(условия!$81:$81,условия!$8:$8,"&lt;="&amp;AR$9,условия!$9:$9,"&gt;="&amp;AR$9)/DAY(EOMONTH(AR$9,0))-AQ31)))</f>
        <v>227316.96149843902</v>
      </c>
      <c r="AS31" s="33">
        <f>IF(AS$9="",0,IF(2*AS25*SUMIFS(условия!$81:$81,условия!$8:$8,"&lt;="&amp;AS$9,условия!$9:$9,"&gt;="&amp;AS$9)/DAY(EOMONTH(AS$9,0))-2*AR31+AS25&lt;0,AR31-AS25,IF(OR(2*AS25*SUMIFS(условия!$81:$81,условия!$8:$8,"&lt;="&amp;AS$9,условия!$9:$9,"&gt;="&amp;AS$9)/DAY(EOMONTH(AS$9,0))-AR31&lt;0,DAY(EOMONTH(AS$9,0))=0),0,2*AS25*SUMIFS(условия!$81:$81,условия!$8:$8,"&lt;="&amp;AS$9,условия!$9:$9,"&gt;="&amp;AS$9)/DAY(EOMONTH(AS$9,0))-AR31)))</f>
        <v>167852.44536940672</v>
      </c>
      <c r="AT31" s="33">
        <f>IF(AT$9="",0,IF(2*AT25*SUMIFS(условия!$81:$81,условия!$8:$8,"&lt;="&amp;AT$9,условия!$9:$9,"&gt;="&amp;AT$9)/DAY(EOMONTH(AT$9,0))-2*AS31+AT25&lt;0,AS31-AT25,IF(OR(2*AT25*SUMIFS(условия!$81:$81,условия!$8:$8,"&lt;="&amp;AT$9,условия!$9:$9,"&gt;="&amp;AT$9)/DAY(EOMONTH(AT$9,0))-AS31&lt;0,DAY(EOMONTH(AT$9,0))=0),0,2*AT25*SUMIFS(условия!$81:$81,условия!$8:$8,"&lt;="&amp;AT$9,условия!$9:$9,"&gt;="&amp;AT$9)/DAY(EOMONTH(AT$9,0))-AS31)))</f>
        <v>288853.06971904269</v>
      </c>
      <c r="AU31" s="33">
        <f>IF(AU$9="",0,IF(2*AU25*SUMIFS(условия!$81:$81,условия!$8:$8,"&lt;="&amp;AU$9,условия!$9:$9,"&gt;="&amp;AU$9)/DAY(EOMONTH(AU$9,0))-2*AT31+AU25&lt;0,AT31-AU25,IF(OR(2*AU25*SUMIFS(условия!$81:$81,условия!$8:$8,"&lt;="&amp;AU$9,условия!$9:$9,"&gt;="&amp;AU$9)/DAY(EOMONTH(AU$9,0))-AT31&lt;0,DAY(EOMONTH(AU$9,0))=0),0,2*AU25*SUMIFS(условия!$81:$81,условия!$8:$8,"&lt;="&amp;AU$9,условия!$9:$9,"&gt;="&amp;AU$9)/DAY(EOMONTH(AU$9,0))-AT31)))</f>
        <v>214936.94068678457</v>
      </c>
      <c r="AV31" s="33">
        <f>IF(AV$9="",0,IF(2*AV25*SUMIFS(условия!$81:$81,условия!$8:$8,"&lt;="&amp;AV$9,условия!$9:$9,"&gt;="&amp;AV$9)/DAY(EOMONTH(AV$9,0))-2*AU31+AV25&lt;0,AU31-AV25,IF(OR(2*AV25*SUMIFS(условия!$81:$81,условия!$8:$8,"&lt;="&amp;AV$9,условия!$9:$9,"&gt;="&amp;AV$9)/DAY(EOMONTH(AV$9,0))-AU31&lt;0,DAY(EOMONTH(AV$9,0))=0),0,2*AV25*SUMIFS(условия!$81:$81,условия!$8:$8,"&lt;="&amp;AV$9,условия!$9:$9,"&gt;="&amp;AV$9)/DAY(EOMONTH(AV$9,0))-AU31)))</f>
        <v>154272.42455775235</v>
      </c>
      <c r="AW31" s="33">
        <f>IF(AW$9="",0,IF(2*AW25*SUMIFS(условия!$81:$81,условия!$8:$8,"&lt;="&amp;AW$9,условия!$9:$9,"&gt;="&amp;AW$9)/DAY(EOMONTH(AW$9,0))-2*AV31+AW25&lt;0,AV31-AW25,IF(OR(2*AW25*SUMIFS(условия!$81:$81,условия!$8:$8,"&lt;="&amp;AW$9,условия!$9:$9,"&gt;="&amp;AW$9)/DAY(EOMONTH(AW$9,0))-AV31&lt;0,DAY(EOMONTH(AW$9,0))=0),0,2*AW25*SUMIFS(условия!$81:$81,условия!$8:$8,"&lt;="&amp;AW$9,условия!$9:$9,"&gt;="&amp;AW$9)/DAY(EOMONTH(AW$9,0))-AV31)))</f>
        <v>83517.585848074901</v>
      </c>
      <c r="AX31" s="33">
        <f>IF(AX$9="",0,IF(2*AX25*SUMIFS(условия!$81:$81,условия!$8:$8,"&lt;="&amp;AX$9,условия!$9:$9,"&gt;="&amp;AX$9)/DAY(EOMONTH(AX$9,0))-2*AW31+AX25&lt;0,AW31-AX25,IF(OR(2*AX25*SUMIFS(условия!$81:$81,условия!$8:$8,"&lt;="&amp;AX$9,условия!$9:$9,"&gt;="&amp;AX$9)/DAY(EOMONTH(AX$9,0))-AW31&lt;0,DAY(EOMONTH(AX$9,0))=0),0,2*AX25*SUMIFS(условия!$81:$81,условия!$8:$8,"&lt;="&amp;AX$9,условия!$9:$9,"&gt;="&amp;AX$9)/DAY(EOMONTH(AX$9,0))-AW31)))</f>
        <v>104405.41103017682</v>
      </c>
      <c r="AY31" s="33">
        <f>IF(AY$9="",0,IF(2*AY25*SUMIFS(условия!$81:$81,условия!$8:$8,"&lt;="&amp;AY$9,условия!$9:$9,"&gt;="&amp;AY$9)/DAY(EOMONTH(AY$9,0))-2*AX31+AY25&lt;0,AX31-AY25,IF(OR(2*AY25*SUMIFS(условия!$81:$81,условия!$8:$8,"&lt;="&amp;AY$9,условия!$9:$9,"&gt;="&amp;AY$9)/DAY(EOMONTH(AY$9,0))-AX31&lt;0,DAY(EOMONTH(AY$9,0))=0),0,2*AY25*SUMIFS(условия!$81:$81,условия!$8:$8,"&lt;="&amp;AY$9,условия!$9:$9,"&gt;="&amp;AY$9)/DAY(EOMONTH(AY$9,0))-AX31)))</f>
        <v>233436.42039542159</v>
      </c>
      <c r="AZ31" s="33">
        <f>IF(AZ$9="",0,IF(2*AZ25*SUMIFS(условия!$81:$81,условия!$8:$8,"&lt;="&amp;AZ$9,условия!$9:$9,"&gt;="&amp;AZ$9)/DAY(EOMONTH(AZ$9,0))-2*AY31+AZ25&lt;0,AY31-AZ25,IF(OR(2*AZ25*SUMIFS(условия!$81:$81,условия!$8:$8,"&lt;="&amp;AZ$9,условия!$9:$9,"&gt;="&amp;AZ$9)/DAY(EOMONTH(AZ$9,0))-AY31&lt;0,DAY(EOMONTH(AZ$9,0))=0),0,2*AZ25*SUMIFS(условия!$81:$81,условия!$8:$8,"&lt;="&amp;AZ$9,условия!$9:$9,"&gt;="&amp;AZ$9)/DAY(EOMONTH(AZ$9,0))-AY31)))</f>
        <v>315718.41831425566</v>
      </c>
      <c r="BA31" s="33">
        <f>IF(BA$9="",0,IF(2*BA25*SUMIFS(условия!$81:$81,условия!$8:$8,"&lt;="&amp;BA$9,условия!$9:$9,"&gt;="&amp;BA$9)/DAY(EOMONTH(BA$9,0))-2*AZ31+BA25&lt;0,AZ31-BA25,IF(OR(2*BA25*SUMIFS(условия!$81:$81,условия!$8:$8,"&lt;="&amp;BA$9,условия!$9:$9,"&gt;="&amp;BA$9)/DAY(EOMONTH(BA$9,0))-AZ31&lt;0,DAY(EOMONTH(BA$9,0))=0),0,2*BA25*SUMIFS(условия!$81:$81,условия!$8:$8,"&lt;="&amp;BA$9,условия!$9:$9,"&gt;="&amp;BA$9)/DAY(EOMONTH(BA$9,0))-AZ31)))</f>
        <v>218793.54838709731</v>
      </c>
      <c r="BB31" s="33">
        <f>IF(BB$9="",0,IF(2*BB25*SUMIFS(условия!$81:$81,условия!$8:$8,"&lt;="&amp;BB$9,условия!$9:$9,"&gt;="&amp;BB$9)/DAY(EOMONTH(BB$9,0))-2*BA31+BB25&lt;0,BA31-BB25,IF(OR(2*BB25*SUMIFS(условия!$81:$81,условия!$8:$8,"&lt;="&amp;BB$9,условия!$9:$9,"&gt;="&amp;BB$9)/DAY(EOMONTH(BB$9,0))-BA31&lt;0,DAY(EOMONTH(BB$9,0))=0),0,2*BB25*SUMIFS(условия!$81:$81,условия!$8:$8,"&lt;="&amp;BB$9,условия!$9:$9,"&gt;="&amp;BB$9)/DAY(EOMONTH(BB$9,0))-BA31)))</f>
        <v>647393.54838709591</v>
      </c>
      <c r="BC31" s="33">
        <f>IF(BC$9="",0,IF(2*BC25*SUMIFS(условия!$81:$81,условия!$8:$8,"&lt;="&amp;BC$9,условия!$9:$9,"&gt;="&amp;BC$9)/DAY(EOMONTH(BC$9,0))-2*BB31+BC25&lt;0,BB31-BC25,IF(OR(2*BC25*SUMIFS(условия!$81:$81,условия!$8:$8,"&lt;="&amp;BC$9,условия!$9:$9,"&gt;="&amp;BC$9)/DAY(EOMONTH(BC$9,0))-BB31&lt;0,DAY(EOMONTH(BC$9,0))=0),0,2*BC25*SUMIFS(условия!$81:$81,условия!$8:$8,"&lt;="&amp;BC$9,условия!$9:$9,"&gt;="&amp;BC$9)/DAY(EOMONTH(BC$9,0))-BB31)))</f>
        <v>611864.51612903131</v>
      </c>
      <c r="BD31" s="33">
        <f>IF(BD$9="",0,IF(2*BD25*SUMIFS(условия!$81:$81,условия!$8:$8,"&lt;="&amp;BD$9,условия!$9:$9,"&gt;="&amp;BD$9)/DAY(EOMONTH(BD$9,0))-2*BC31+BD25&lt;0,BC31-BD25,IF(OR(2*BD25*SUMIFS(условия!$81:$81,условия!$8:$8,"&lt;="&amp;BD$9,условия!$9:$9,"&gt;="&amp;BD$9)/DAY(EOMONTH(BD$9,0))-BC31&lt;0,DAY(EOMONTH(BD$9,0))=0),0,2*BD25*SUMIFS(условия!$81:$81,условия!$8:$8,"&lt;="&amp;BD$9,условия!$9:$9,"&gt;="&amp;BD$9)/DAY(EOMONTH(BD$9,0))-BC31)))</f>
        <v>355312.90322580549</v>
      </c>
      <c r="BE31" s="33">
        <f>IF(BE$9="",0,IF(2*BE25*SUMIFS(условия!$81:$81,условия!$8:$8,"&lt;="&amp;BE$9,условия!$9:$9,"&gt;="&amp;BE$9)/DAY(EOMONTH(BE$9,0))-2*BD31+BE25&lt;0,BD31-BE25,IF(OR(2*BE25*SUMIFS(условия!$81:$81,условия!$8:$8,"&lt;="&amp;BE$9,условия!$9:$9,"&gt;="&amp;BE$9)/DAY(EOMONTH(BE$9,0))-BD31&lt;0,DAY(EOMONTH(BE$9,0))=0),0,2*BE25*SUMIFS(условия!$81:$81,условия!$8:$8,"&lt;="&amp;BE$9,условия!$9:$9,"&gt;="&amp;BE$9)/DAY(EOMONTH(BE$9,0))-BD31)))</f>
        <v>195280.81201334699</v>
      </c>
      <c r="BF31" s="33">
        <f>IF(BF$9="",0,IF(2*BF25*SUMIFS(условия!$81:$81,условия!$8:$8,"&lt;="&amp;BF$9,условия!$9:$9,"&gt;="&amp;BF$9)/DAY(EOMONTH(BF$9,0))-2*BE31+BF25&lt;0,BE31-BF25,IF(OR(2*BF25*SUMIFS(условия!$81:$81,условия!$8:$8,"&lt;="&amp;BF$9,условия!$9:$9,"&gt;="&amp;BF$9)/DAY(EOMONTH(BF$9,0))-BE31&lt;0,DAY(EOMONTH(BF$9,0))=0),0,2*BF25*SUMIFS(условия!$81:$81,условия!$8:$8,"&lt;="&amp;BF$9,условия!$9:$9,"&gt;="&amp;BF$9)/DAY(EOMONTH(BF$9,0))-BE31)))</f>
        <v>475679.46643223712</v>
      </c>
      <c r="BG31" s="33">
        <f>IF(BG$9="",0,IF(2*BG25*SUMIFS(условия!$81:$81,условия!$8:$8,"&lt;="&amp;BG$9,условия!$9:$9,"&gt;="&amp;BG$9)/DAY(EOMONTH(BG$9,0))-2*BF31+BG25&lt;0,BF31-BG25,IF(OR(2*BG25*SUMIFS(условия!$81:$81,условия!$8:$8,"&lt;="&amp;BG$9,условия!$9:$9,"&gt;="&amp;BG$9)/DAY(EOMONTH(BG$9,0))-BF31&lt;0,DAY(EOMONTH(BG$9,0))=0),0,2*BG25*SUMIFS(условия!$81:$81,условия!$8:$8,"&lt;="&amp;BG$9,условия!$9:$9,"&gt;="&amp;BG$9)/DAY(EOMONTH(BG$9,0))-BF31)))</f>
        <v>302128.18723312672</v>
      </c>
      <c r="BH31" s="33">
        <f>IF(BH$9="",0,IF(2*BH25*SUMIFS(условия!$81:$81,условия!$8:$8,"&lt;="&amp;BH$9,условия!$9:$9,"&gt;="&amp;BH$9)/DAY(EOMONTH(BH$9,0))-2*BG31+BH25&lt;0,BG31-BH25,IF(OR(2*BH25*SUMIFS(условия!$81:$81,условия!$8:$8,"&lt;="&amp;BH$9,условия!$9:$9,"&gt;="&amp;BH$9)/DAY(EOMONTH(BH$9,0))-BG31&lt;0,DAY(EOMONTH(BH$9,0))=0),0,2*BH25*SUMIFS(условия!$81:$81,условия!$8:$8,"&lt;="&amp;BH$9,условия!$9:$9,"&gt;="&amp;BH$9)/DAY(EOMONTH(BH$9,0))-BG31)))</f>
        <v>223340.7567548177</v>
      </c>
      <c r="BI31" s="33">
        <f>IF(BI$9="",0,IF(2*BI25*SUMIFS(условия!$81:$81,условия!$8:$8,"&lt;="&amp;BI$9,условия!$9:$9,"&gt;="&amp;BI$9)/DAY(EOMONTH(BI$9,0))-2*BH31+BI25&lt;0,BH31-BI25,IF(OR(2*BI25*SUMIFS(условия!$81:$81,условия!$8:$8,"&lt;="&amp;BI$9,условия!$9:$9,"&gt;="&amp;BI$9)/DAY(EOMONTH(BI$9,0))-BH31&lt;0,DAY(EOMONTH(BI$9,0))=0),0,2*BI25*SUMIFS(условия!$81:$81,условия!$8:$8,"&lt;="&amp;BI$9,условия!$9:$9,"&gt;="&amp;BI$9)/DAY(EOMONTH(BI$9,0))-BH31)))</f>
        <v>223656.2028299068</v>
      </c>
      <c r="BJ31" s="33">
        <f>IF(BJ$9="",0,IF(2*BJ25*SUMIFS(условия!$81:$81,условия!$8:$8,"&lt;="&amp;BJ$9,условия!$9:$9,"&gt;="&amp;BJ$9)/DAY(EOMONTH(BJ$9,0))-2*BI31+BJ25&lt;0,BI31-BJ25,IF(OR(2*BJ25*SUMIFS(условия!$81:$81,условия!$8:$8,"&lt;="&amp;BJ$9,условия!$9:$9,"&gt;="&amp;BJ$9)/DAY(EOMONTH(BJ$9,0))-BI31&lt;0,DAY(EOMONTH(BJ$9,0))=0),0,2*BJ25*SUMIFS(условия!$81:$81,условия!$8:$8,"&lt;="&amp;BJ$9,условия!$9:$9,"&gt;="&amp;BJ$9)/DAY(EOMONTH(BJ$9,0))-BI31)))</f>
        <v>137247.80460966233</v>
      </c>
      <c r="BK31" s="33">
        <f>IF(BK$9="",0,IF(2*BK25*SUMIFS(условия!$81:$81,условия!$8:$8,"&lt;="&amp;BK$9,условия!$9:$9,"&gt;="&amp;BK$9)/DAY(EOMONTH(BK$9,0))-2*BJ31+BK25&lt;0,BJ31-BK25,IF(OR(2*BK25*SUMIFS(условия!$81:$81,условия!$8:$8,"&lt;="&amp;BK$9,условия!$9:$9,"&gt;="&amp;BK$9)/DAY(EOMONTH(BK$9,0))-BJ31&lt;0,DAY(EOMONTH(BK$9,0))=0),0,2*BK25*SUMIFS(условия!$81:$81,условия!$8:$8,"&lt;="&amp;BK$9,условия!$9:$9,"&gt;="&amp;BK$9)/DAY(EOMONTH(BK$9,0))-BJ31)))</f>
        <v>516037.49446816678</v>
      </c>
      <c r="BL31" s="33">
        <f>IF(BL$9="",0,IF(2*BL25*SUMIFS(условия!$81:$81,условия!$8:$8,"&lt;="&amp;BL$9,условия!$9:$9,"&gt;="&amp;BL$9)/DAY(EOMONTH(BL$9,0))-2*BK31+BL25&lt;0,BK31-BL25,IF(OR(2*BL25*SUMIFS(условия!$81:$81,условия!$8:$8,"&lt;="&amp;BL$9,условия!$9:$9,"&gt;="&amp;BL$9)/DAY(EOMONTH(BL$9,0))-BK31&lt;0,DAY(EOMONTH(BL$9,0))=0),0,2*BL25*SUMIFS(условия!$81:$81,условия!$8:$8,"&lt;="&amp;BL$9,условия!$9:$9,"&gt;="&amp;BL$9)/DAY(EOMONTH(BL$9,0))-BK31)))</f>
        <v>305997.80401162495</v>
      </c>
      <c r="BM31" s="33">
        <f>IF(BM$9="",0,IF(2*BM25*SUMIFS(условия!$81:$81,условия!$8:$8,"&lt;="&amp;BM$9,условия!$9:$9,"&gt;="&amp;BM$9)/DAY(EOMONTH(BM$9,0))-2*BL31+BM25&lt;0,BL31-BM25,IF(OR(2*BM25*SUMIFS(условия!$81:$81,условия!$8:$8,"&lt;="&amp;BM$9,условия!$9:$9,"&gt;="&amp;BM$9)/DAY(EOMONTH(BM$9,0))-BL31&lt;0,DAY(EOMONTH(BM$9,0))=0),0,2*BM25*SUMIFS(условия!$81:$81,условия!$8:$8,"&lt;="&amp;BM$9,условия!$9:$9,"&gt;="&amp;BM$9)/DAY(EOMONTH(BM$9,0))-BL31)))</f>
        <v>675071.05385912838</v>
      </c>
      <c r="BN31" s="33">
        <f>IF(BN$9="",0,IF(2*BN25*SUMIFS(условия!$81:$81,условия!$8:$8,"&lt;="&amp;BN$9,условия!$9:$9,"&gt;="&amp;BN$9)/DAY(EOMONTH(BN$9,0))-2*BM31+BN25&lt;0,BM31-BN25,IF(OR(2*BN25*SUMIFS(условия!$81:$81,условия!$8:$8,"&lt;="&amp;BN$9,условия!$9:$9,"&gt;="&amp;BN$9)/DAY(EOMONTH(BN$9,0))-BM31&lt;0,DAY(EOMONTH(BN$9,0))=0),0,2*BN25*SUMIFS(условия!$81:$81,условия!$8:$8,"&lt;="&amp;BN$9,условия!$9:$9,"&gt;="&amp;BN$9)/DAY(EOMONTH(BN$9,0))-BM31)))</f>
        <v>675351.34139485704</v>
      </c>
      <c r="BO31" s="33">
        <f>IF(BO$9="",0,IF(2*BO25*SUMIFS(условия!$81:$81,условия!$8:$8,"&lt;="&amp;BO$9,условия!$9:$9,"&gt;="&amp;BO$9)/DAY(EOMONTH(BO$9,0))-2*BN31+BO25&lt;0,BN31-BO25,IF(OR(2*BO25*SUMIFS(условия!$81:$81,условия!$8:$8,"&lt;="&amp;BO$9,условия!$9:$9,"&gt;="&amp;BO$9)/DAY(EOMONTH(BO$9,0))-BN31&lt;0,DAY(EOMONTH(BO$9,0))=0),0,2*BO25*SUMIFS(условия!$81:$81,условия!$8:$8,"&lt;="&amp;BO$9,условия!$9:$9,"&gt;="&amp;BO$9)/DAY(EOMONTH(BO$9,0))-BN31)))</f>
        <v>573775.86864735954</v>
      </c>
      <c r="BP31" s="33">
        <f>IF(BP$9="",0,IF(2*BP25*SUMIFS(условия!$81:$81,условия!$8:$8,"&lt;="&amp;BP$9,условия!$9:$9,"&gt;="&amp;BP$9)/DAY(EOMONTH(BP$9,0))-2*BO31+BP25&lt;0,BO31-BP25,IF(OR(2*BP25*SUMIFS(условия!$81:$81,условия!$8:$8,"&lt;="&amp;BP$9,условия!$9:$9,"&gt;="&amp;BP$9)/DAY(EOMONTH(BP$9,0))-BO31&lt;0,DAY(EOMONTH(BP$9,0))=0),0,2*BP25*SUMIFS(условия!$81:$81,условия!$8:$8,"&lt;="&amp;BP$9,условия!$9:$9,"&gt;="&amp;BP$9)/DAY(EOMONTH(BP$9,0))-BO31)))</f>
        <v>282241.64184817218</v>
      </c>
      <c r="BQ31" s="33">
        <f>IF(BQ$9="",0,IF(2*BQ25*SUMIFS(условия!$81:$81,условия!$8:$8,"&lt;="&amp;BQ$9,условия!$9:$9,"&gt;="&amp;BQ$9)/DAY(EOMONTH(BQ$9,0))-2*BP31+BQ25&lt;0,BP31-BQ25,IF(OR(2*BQ25*SUMIFS(условия!$81:$81,условия!$8:$8,"&lt;="&amp;BQ$9,условия!$9:$9,"&gt;="&amp;BQ$9)/DAY(EOMONTH(BQ$9,0))-BP31&lt;0,DAY(EOMONTH(BQ$9,0))=0),0,2*BQ25*SUMIFS(условия!$81:$81,условия!$8:$8,"&lt;="&amp;BQ$9,условия!$9:$9,"&gt;="&amp;BQ$9)/DAY(EOMONTH(BQ$9,0))-BP31)))</f>
        <v>939978.60286818107</v>
      </c>
      <c r="BR31" s="33">
        <f>IF(BR$9="",0,IF(2*BR25*SUMIFS(условия!$81:$81,условия!$8:$8,"&lt;="&amp;BR$9,условия!$9:$9,"&gt;="&amp;BR$9)/DAY(EOMONTH(BR$9,0))-2*BQ31+BR25&lt;0,BQ31-BR25,IF(OR(2*BR25*SUMIFS(условия!$81:$81,условия!$8:$8,"&lt;="&amp;BR$9,условия!$9:$9,"&gt;="&amp;BR$9)/DAY(EOMONTH(BR$9,0))-BQ31&lt;0,DAY(EOMONTH(BR$9,0))=0),0,2*BR25*SUMIFS(условия!$81:$81,условия!$8:$8,"&lt;="&amp;BR$9,условия!$9:$9,"&gt;="&amp;BR$9)/DAY(EOMONTH(BR$9,0))-BQ31)))</f>
        <v>628400.84980922728</v>
      </c>
      <c r="BS31" s="33">
        <f>IF(BS$9="",0,IF(2*BS25*SUMIFS(условия!$81:$81,условия!$8:$8,"&lt;="&amp;BS$9,условия!$9:$9,"&gt;="&amp;BS$9)/DAY(EOMONTH(BS$9,0))-2*BR31+BS25&lt;0,BR31-BS25,IF(OR(2*BS25*SUMIFS(условия!$81:$81,условия!$8:$8,"&lt;="&amp;BS$9,условия!$9:$9,"&gt;="&amp;BS$9)/DAY(EOMONTH(BS$9,0))-BR31&lt;0,DAY(EOMONTH(BS$9,0))=0),0,2*BS25*SUMIFS(условия!$81:$81,условия!$8:$8,"&lt;="&amp;BS$9,условия!$9:$9,"&gt;="&amp;BS$9)/DAY(EOMONTH(BS$9,0))-BR31)))</f>
        <v>643778.90547442273</v>
      </c>
      <c r="BT31" s="33">
        <f>IF(BT$9="",0,IF(2*BT25*SUMIFS(условия!$81:$81,условия!$8:$8,"&lt;="&amp;BT$9,условия!$9:$9,"&gt;="&amp;BT$9)/DAY(EOMONTH(BT$9,0))-2*BS31+BT25&lt;0,BS31-BT25,IF(OR(2*BT25*SUMIFS(условия!$81:$81,условия!$8:$8,"&lt;="&amp;BT$9,условия!$9:$9,"&gt;="&amp;BT$9)/DAY(EOMONTH(BT$9,0))-BS31&lt;0,DAY(EOMONTH(BT$9,0))=0),0,2*BT25*SUMIFS(условия!$81:$81,условия!$8:$8,"&lt;="&amp;BT$9,условия!$9:$9,"&gt;="&amp;BT$9)/DAY(EOMONTH(BT$9,0))-BS31)))</f>
        <v>624330.18467353343</v>
      </c>
      <c r="BU31" s="33">
        <f>IF(BU$9="",0,IF(2*BU25*SUMIFS(условия!$81:$81,условия!$8:$8,"&lt;="&amp;BU$9,условия!$9:$9,"&gt;="&amp;BU$9)/DAY(EOMONTH(BU$9,0))-2*BT31+BU25&lt;0,BT31-BU25,IF(OR(2*BU25*SUMIFS(условия!$81:$81,условия!$8:$8,"&lt;="&amp;BU$9,условия!$9:$9,"&gt;="&amp;BU$9)/DAY(EOMONTH(BU$9,0))-BT31&lt;0,DAY(EOMONTH(BU$9,0))=0),0,2*BU25*SUMIFS(условия!$81:$81,условия!$8:$8,"&lt;="&amp;BU$9,условия!$9:$9,"&gt;="&amp;BU$9)/DAY(EOMONTH(BU$9,0))-BT31)))</f>
        <v>559763.54910474003</v>
      </c>
      <c r="BV31" s="33">
        <f>IF(BV$9="",0,IF(2*BV25*SUMIFS(условия!$81:$81,условия!$8:$8,"&lt;="&amp;BV$9,условия!$9:$9,"&gt;="&amp;BV$9)/DAY(EOMONTH(BV$9,0))-2*BU31+BV25&lt;0,BU31-BV25,IF(OR(2*BV25*SUMIFS(условия!$81:$81,условия!$8:$8,"&lt;="&amp;BV$9,условия!$9:$9,"&gt;="&amp;BV$9)/DAY(EOMONTH(BV$9,0))-BU31&lt;0,DAY(EOMONTH(BV$9,0))=0),0,2*BV25*SUMIFS(условия!$81:$81,условия!$8:$8,"&lt;="&amp;BV$9,условия!$9:$9,"&gt;="&amp;BV$9)/DAY(EOMONTH(BV$9,0))-BU31)))</f>
        <v>536701.9250780443</v>
      </c>
      <c r="BW31" s="33">
        <f>IF(BW$9="",0,IF(2*BW25*SUMIFS(условия!$81:$81,условия!$8:$8,"&lt;="&amp;BW$9,условия!$9:$9,"&gt;="&amp;BW$9)/DAY(EOMONTH(BW$9,0))-2*BV31+BW25&lt;0,BV31-BW25,IF(OR(2*BW25*SUMIFS(условия!$81:$81,условия!$8:$8,"&lt;="&amp;BW$9,условия!$9:$9,"&gt;="&amp;BW$9)/DAY(EOMONTH(BW$9,0))-BV31&lt;0,DAY(EOMONTH(BW$9,0))=0),0,2*BW25*SUMIFS(условия!$81:$81,условия!$8:$8,"&lt;="&amp;BW$9,условия!$9:$9,"&gt;="&amp;BW$9)/DAY(EOMONTH(BW$9,0))-BV31)))</f>
        <v>966156.73508199176</v>
      </c>
      <c r="BX31" s="33">
        <f>IF(BX$9="",0,IF(2*BX25*SUMIFS(условия!$81:$81,условия!$8:$8,"&lt;="&amp;BX$9,условия!$9:$9,"&gt;="&amp;BX$9)/DAY(EOMONTH(BX$9,0))-2*BW31+BX25&lt;0,BW31-BX25,IF(OR(2*BX25*SUMIFS(условия!$81:$81,условия!$8:$8,"&lt;="&amp;BX$9,условия!$9:$9,"&gt;="&amp;BX$9)/DAY(EOMONTH(BX$9,0))-BW31&lt;0,DAY(EOMONTH(BX$9,0))=0),0,2*BX25*SUMIFS(условия!$81:$81,условия!$8:$8,"&lt;="&amp;BX$9,условия!$9:$9,"&gt;="&amp;BX$9)/DAY(EOMONTH(BX$9,0))-BW31)))</f>
        <v>573030.59492626379</v>
      </c>
      <c r="BY31" s="33">
        <f>IF(BY$9="",0,IF(2*BY25*SUMIFS(условия!$81:$81,условия!$8:$8,"&lt;="&amp;BY$9,условия!$9:$9,"&gt;="&amp;BY$9)/DAY(EOMONTH(BY$9,0))-2*BX31+BY25&lt;0,BX31-BY25,IF(OR(2*BY25*SUMIFS(условия!$81:$81,условия!$8:$8,"&lt;="&amp;BY$9,условия!$9:$9,"&gt;="&amp;BY$9)/DAY(EOMONTH(BY$9,0))-BX31&lt;0,DAY(EOMONTH(BY$9,0))=0),0,2*BY25*SUMIFS(условия!$81:$81,условия!$8:$8,"&lt;="&amp;BY$9,условия!$9:$9,"&gt;="&amp;BY$9)/DAY(EOMONTH(BY$9,0))-BX31)))</f>
        <v>1553178.7416125443</v>
      </c>
      <c r="BZ31" s="33">
        <f>IF(BZ$9="",0,IF(2*BZ25*SUMIFS(условия!$81:$81,условия!$8:$8,"&lt;="&amp;BZ$9,условия!$9:$9,"&gt;="&amp;BZ$9)/DAY(EOMONTH(BZ$9,0))-2*BY31+BZ25&lt;0,BY31-BZ25,IF(OR(2*BZ25*SUMIFS(условия!$81:$81,условия!$8:$8,"&lt;="&amp;BZ$9,условия!$9:$9,"&gt;="&amp;BZ$9)/DAY(EOMONTH(BZ$9,0))-BY31&lt;0,DAY(EOMONTH(BZ$9,0))=0),0,2*BZ25*SUMIFS(условия!$81:$81,условия!$8:$8,"&lt;="&amp;BZ$9,условия!$9:$9,"&gt;="&amp;BZ$9)/DAY(EOMONTH(BZ$9,0))-BY31)))</f>
        <v>810117.11758584855</v>
      </c>
      <c r="CA31" s="33">
        <f>IF(CA$9="",0,IF(2*CA25*SUMIFS(условия!$81:$81,условия!$8:$8,"&lt;="&amp;CA$9,условия!$9:$9,"&gt;="&amp;CA$9)/DAY(EOMONTH(CA$9,0))-2*BZ31+CA25&lt;0,BZ31-CA25,IF(OR(2*CA25*SUMIFS(условия!$81:$81,условия!$8:$8,"&lt;="&amp;CA$9,условия!$9:$9,"&gt;="&amp;CA$9)/DAY(EOMONTH(CA$9,0))-BZ31&lt;0,DAY(EOMONTH(CA$9,0))=0),0,2*CA25*SUMIFS(условия!$81:$81,условия!$8:$8,"&lt;="&amp;CA$9,условия!$9:$9,"&gt;="&amp;CA$9)/DAY(EOMONTH(CA$9,0))-BZ31)))</f>
        <v>402727.12870931847</v>
      </c>
      <c r="CB31" s="33">
        <f>IF(CB$9="",0,IF(2*CB25*SUMIFS(условия!$81:$81,условия!$8:$8,"&lt;="&amp;CB$9,условия!$9:$9,"&gt;="&amp;CB$9)/DAY(EOMONTH(CB$9,0))-2*CA31+CB25&lt;0,CA31-CB25,IF(OR(2*CB25*SUMIFS(условия!$81:$81,условия!$8:$8,"&lt;="&amp;CB$9,условия!$9:$9,"&gt;="&amp;CB$9)/DAY(EOMONTH(CB$9,0))-CA31&lt;0,DAY(EOMONTH(CB$9,0))=0),0,2*CB25*SUMIFS(условия!$81:$81,условия!$8:$8,"&lt;="&amp;CB$9,условия!$9:$9,"&gt;="&amp;CB$9)/DAY(EOMONTH(CB$9,0))-CA31)))</f>
        <v>233110.66597294528</v>
      </c>
      <c r="CC31" s="33">
        <f>IF(CC$9="",0,IF(2*CC25*SUMIFS(условия!$81:$81,условия!$8:$8,"&lt;="&amp;CC$9,условия!$9:$9,"&gt;="&amp;CC$9)/DAY(EOMONTH(CC$9,0))-2*CB31+CC25&lt;0,CB31-CC25,IF(OR(2*CC25*SUMIFS(условия!$81:$81,условия!$8:$8,"&lt;="&amp;CC$9,условия!$9:$9,"&gt;="&amp;CC$9)/DAY(EOMONTH(CC$9,0))-CB31&lt;0,DAY(EOMONTH(CC$9,0))=0),0,2*CC25*SUMIFS(условия!$81:$81,условия!$8:$8,"&lt;="&amp;CC$9,условия!$9:$9,"&gt;="&amp;CC$9)/DAY(EOMONTH(CC$9,0))-CB31)))</f>
        <v>2048962.1133056204</v>
      </c>
      <c r="CD31" s="33">
        <f>IF(CD$9="",0,IF(2*CD25*SUMIFS(условия!$81:$81,условия!$8:$8,"&lt;="&amp;CD$9,условия!$9:$9,"&gt;="&amp;CD$9)/DAY(EOMONTH(CD$9,0))-2*CC31+CD25&lt;0,CC31-CD25,IF(OR(2*CD25*SUMIFS(условия!$81:$81,условия!$8:$8,"&lt;="&amp;CD$9,условия!$9:$9,"&gt;="&amp;CD$9)/DAY(EOMONTH(CD$9,0))-CC31&lt;0,DAY(EOMONTH(CD$9,0))=0),0,2*CD25*SUMIFS(условия!$81:$81,условия!$8:$8,"&lt;="&amp;CD$9,условия!$9:$9,"&gt;="&amp;CD$9)/DAY(EOMONTH(CD$9,0))-CC31)))</f>
        <v>1905010.1666982798</v>
      </c>
      <c r="CE31" s="33">
        <f>IF(CE$9="",0,IF(2*CE25*SUMIFS(условия!$81:$81,условия!$8:$8,"&lt;="&amp;CE$9,условия!$9:$9,"&gt;="&amp;CE$9)/DAY(EOMONTH(CE$9,0))-2*CD31+CE25&lt;0,CD31-CE25,IF(OR(2*CE25*SUMIFS(условия!$81:$81,условия!$8:$8,"&lt;="&amp;CE$9,условия!$9:$9,"&gt;="&amp;CE$9)/DAY(EOMONTH(CE$9,0))-CD31&lt;0,DAY(EOMONTH(CE$9,0))=0),0,2*CE25*SUMIFS(условия!$81:$81,условия!$8:$8,"&lt;="&amp;CE$9,условия!$9:$9,"&gt;="&amp;CE$9)/DAY(EOMONTH(CE$9,0))-CD31)))</f>
        <v>1043439.5326604592</v>
      </c>
      <c r="CF31" s="33">
        <f>IF(CF$9="",0,IF(2*CF25*SUMIFS(условия!$81:$81,условия!$8:$8,"&lt;="&amp;CF$9,условия!$9:$9,"&gt;="&amp;CF$9)/DAY(EOMONTH(CF$9,0))-2*CE31+CF25&lt;0,CE31-CF25,IF(OR(2*CF25*SUMIFS(условия!$81:$81,условия!$8:$8,"&lt;="&amp;CF$9,условия!$9:$9,"&gt;="&amp;CF$9)/DAY(EOMONTH(CF$9,0))-CE31&lt;0,DAY(EOMONTH(CF$9,0))=0),0,2*CF25*SUMIFS(условия!$81:$81,условия!$8:$8,"&lt;="&amp;CF$9,условия!$9:$9,"&gt;="&amp;CF$9)/DAY(EOMONTH(CF$9,0))-CE31)))</f>
        <v>1043439.5326604592</v>
      </c>
      <c r="CG31" s="33">
        <f>IF(CG$9="",0,IF(2*CG25*SUMIFS(условия!$81:$81,условия!$8:$8,"&lt;="&amp;CG$9,условия!$9:$9,"&gt;="&amp;CG$9)/DAY(EOMONTH(CG$9,0))-2*CF31+CG25&lt;0,CF31-CG25,IF(OR(2*CG25*SUMIFS(условия!$81:$81,условия!$8:$8,"&lt;="&amp;CG$9,условия!$9:$9,"&gt;="&amp;CG$9)/DAY(EOMONTH(CG$9,0))-CF31&lt;0,DAY(EOMONTH(CG$9,0))=0),0,2*CG25*SUMIFS(условия!$81:$81,условия!$8:$8,"&lt;="&amp;CG$9,условия!$9:$9,"&gt;="&amp;CG$9)/DAY(EOMONTH(CG$9,0))-CF31)))</f>
        <v>681010.16669827979</v>
      </c>
      <c r="CH31" s="33">
        <f>IF(CH$9="",0,IF(2*CH25*SUMIFS(условия!$81:$81,условия!$8:$8,"&lt;="&amp;CH$9,условия!$9:$9,"&gt;="&amp;CH$9)/DAY(EOMONTH(CH$9,0))-2*CG31+CH25&lt;0,CG31-CH25,IF(OR(2*CH25*SUMIFS(условия!$81:$81,условия!$8:$8,"&lt;="&amp;CH$9,условия!$9:$9,"&gt;="&amp;CH$9)/DAY(EOMONTH(CH$9,0))-CG31&lt;0,DAY(EOMONTH(CH$9,0))=0),0,2*CH25*SUMIFS(условия!$81:$81,условия!$8:$8,"&lt;="&amp;CH$9,условия!$9:$9,"&gt;="&amp;CH$9)/DAY(EOMONTH(CH$9,0))-CG31)))</f>
        <v>447891.14556368499</v>
      </c>
      <c r="CI31" s="33">
        <f>IF(CI$9="",0,IF(2*CI25*SUMIFS(условия!$81:$81,условия!$8:$8,"&lt;="&amp;CI$9,условия!$9:$9,"&gt;="&amp;CI$9)/DAY(EOMONTH(CI$9,0))-2*CH31+CI25&lt;0,CH31-CI25,IF(OR(2*CI25*SUMIFS(условия!$81:$81,условия!$8:$8,"&lt;="&amp;CI$9,условия!$9:$9,"&gt;="&amp;CI$9)/DAY(EOMONTH(CI$9,0))-CH31&lt;0,DAY(EOMONTH(CI$9,0))=0),0,2*CI25*SUMIFS(условия!$81:$81,условия!$8:$8,"&lt;="&amp;CI$9,условия!$9:$9,"&gt;="&amp;CI$9)/DAY(EOMONTH(CI$9,0))-CH31)))</f>
        <v>942536.35452601861</v>
      </c>
      <c r="CJ31" s="33">
        <f>IF(CJ$9="",0,IF(2*CJ25*SUMIFS(условия!$81:$81,условия!$8:$8,"&lt;="&amp;CJ$9,условия!$9:$9,"&gt;="&amp;CJ$9)/DAY(EOMONTH(CJ$9,0))-2*CI31+CJ25&lt;0,CI31-CJ25,IF(OR(2*CJ25*SUMIFS(условия!$81:$81,условия!$8:$8,"&lt;="&amp;CJ$9,условия!$9:$9,"&gt;="&amp;CJ$9)/DAY(EOMONTH(CJ$9,0))-CI31&lt;0,DAY(EOMONTH(CJ$9,0))=0),0,2*CJ25*SUMIFS(условия!$81:$81,условия!$8:$8,"&lt;="&amp;CJ$9,условия!$9:$9,"&gt;="&amp;CJ$9)/DAY(EOMONTH(CJ$9,0))-CI31)))</f>
        <v>937333.72333827696</v>
      </c>
      <c r="CK31" s="33">
        <f>IF(CK$9="",0,IF(2*CK25*SUMIFS(условия!$81:$81,условия!$8:$8,"&lt;="&amp;CK$9,условия!$9:$9,"&gt;="&amp;CK$9)/DAY(EOMONTH(CK$9,0))-2*CJ31+CK25&lt;0,CJ31-CK25,IF(OR(2*CK25*SUMIFS(условия!$81:$81,условия!$8:$8,"&lt;="&amp;CK$9,условия!$9:$9,"&gt;="&amp;CK$9)/DAY(EOMONTH(CK$9,0))-CJ31&lt;0,DAY(EOMONTH(CK$9,0))=0),0,2*CK25*SUMIFS(условия!$81:$81,условия!$8:$8,"&lt;="&amp;CK$9,условия!$9:$9,"&gt;="&amp;CK$9)/DAY(EOMONTH(CK$9,0))-CJ31)))</f>
        <v>1247865.8891343614</v>
      </c>
      <c r="CL31" s="33">
        <f>IF(CL$9="",0,IF(2*CL25*SUMIFS(условия!$81:$81,условия!$8:$8,"&lt;="&amp;CL$9,условия!$9:$9,"&gt;="&amp;CL$9)/DAY(EOMONTH(CL$9,0))-2*CK31+CL25&lt;0,CK31-CL25,IF(OR(2*CL25*SUMIFS(условия!$81:$81,условия!$8:$8,"&lt;="&amp;CL$9,условия!$9:$9,"&gt;="&amp;CL$9)/DAY(EOMONTH(CL$9,0))-CK31&lt;0,DAY(EOMONTH(CL$9,0))=0),0,2*CL25*SUMIFS(условия!$81:$81,условия!$8:$8,"&lt;="&amp;CL$9,условия!$9:$9,"&gt;="&amp;CL$9)/DAY(EOMONTH(CL$9,0))-CK31)))</f>
        <v>1821784.8338912237</v>
      </c>
      <c r="CM31" s="33">
        <f>IF(CM$9="",0,IF(2*CM25*SUMIFS(условия!$81:$81,условия!$8:$8,"&lt;="&amp;CM$9,условия!$9:$9,"&gt;="&amp;CM$9)/DAY(EOMONTH(CM$9,0))-2*CL31+CM25&lt;0,CL31-CM25,IF(OR(2*CM25*SUMIFS(условия!$81:$81,условия!$8:$8,"&lt;="&amp;CM$9,условия!$9:$9,"&gt;="&amp;CM$9)/DAY(EOMONTH(CM$9,0))-CL31&lt;0,DAY(EOMONTH(CM$9,0))=0),0,2*CM25*SUMIFS(условия!$81:$81,условия!$8:$8,"&lt;="&amp;CM$9,условия!$9:$9,"&gt;="&amp;CM$9)/DAY(EOMONTH(CM$9,0))-CL31)))</f>
        <v>1506078.0485742053</v>
      </c>
      <c r="CN31" s="33">
        <f>IF(CN$9="",0,IF(2*CN25*SUMIFS(условия!$81:$81,условия!$8:$8,"&lt;="&amp;CN$9,условия!$9:$9,"&gt;="&amp;CN$9)/DAY(EOMONTH(CN$9,0))-2*CM31+CN25&lt;0,CM31-CN25,IF(OR(2*CN25*SUMIFS(условия!$81:$81,условия!$8:$8,"&lt;="&amp;CN$9,условия!$9:$9,"&gt;="&amp;CN$9)/DAY(EOMONTH(CN$9,0))-CM31&lt;0,DAY(EOMONTH(CN$9,0))=0),0,2*CN25*SUMIFS(условия!$81:$81,условия!$8:$8,"&lt;="&amp;CN$9,условия!$9:$9,"&gt;="&amp;CN$9)/DAY(EOMONTH(CN$9,0))-CM31)))</f>
        <v>1124197.73711703</v>
      </c>
      <c r="CO31" s="33">
        <f>IF(CO$9="",0,IF(2*CO25*SUMIFS(условия!$81:$81,условия!$8:$8,"&lt;="&amp;CO$9,условия!$9:$9,"&gt;="&amp;CO$9)/DAY(EOMONTH(CO$9,0))-2*CN31+CO25&lt;0,CN31-CO25,IF(OR(2*CO25*SUMIFS(условия!$81:$81,условия!$8:$8,"&lt;="&amp;CO$9,условия!$9:$9,"&gt;="&amp;CO$9)/DAY(EOMONTH(CO$9,0))-CN31&lt;0,DAY(EOMONTH(CO$9,0))=0),0,2*CO25*SUMIFS(условия!$81:$81,условия!$8:$8,"&lt;="&amp;CO$9,условия!$9:$9,"&gt;="&amp;CO$9)/DAY(EOMONTH(CO$9,0))-CN31)))</f>
        <v>1202393.0780744518</v>
      </c>
      <c r="CP31" s="33">
        <f>IF(CP$9="",0,IF(2*CP25*SUMIFS(условия!$81:$81,условия!$8:$8,"&lt;="&amp;CP$9,условия!$9:$9,"&gt;="&amp;CP$9)/DAY(EOMONTH(CP$9,0))-2*CO31+CP25&lt;0,CO31-CP25,IF(OR(2*CP25*SUMIFS(условия!$81:$81,условия!$8:$8,"&lt;="&amp;CP$9,условия!$9:$9,"&gt;="&amp;CP$9)/DAY(EOMONTH(CP$9,0))-CO31&lt;0,DAY(EOMONTH(CP$9,0))=0),0,2*CP25*SUMIFS(условия!$81:$81,условия!$8:$8,"&lt;="&amp;CP$9,условия!$9:$9,"&gt;="&amp;CP$9)/DAY(EOMONTH(CP$9,0))-CO31)))</f>
        <v>852215.99242372811</v>
      </c>
      <c r="CQ31" s="33">
        <f>IF(CQ$9="",0,IF(2*CQ25*SUMIFS(условия!$81:$81,условия!$8:$8,"&lt;="&amp;CQ$9,условия!$9:$9,"&gt;="&amp;CQ$9)/DAY(EOMONTH(CQ$9,0))-2*CP31+CQ25&lt;0,CP31-CQ25,IF(OR(2*CQ25*SUMIFS(условия!$81:$81,условия!$8:$8,"&lt;="&amp;CQ$9,условия!$9:$9,"&gt;="&amp;CQ$9)/DAY(EOMONTH(CQ$9,0))-CP31&lt;0,DAY(EOMONTH(CQ$9,0))=0),0,2*CQ25*SUMIFS(условия!$81:$81,условия!$8:$8,"&lt;="&amp;CQ$9,условия!$9:$9,"&gt;="&amp;CQ$9)/DAY(EOMONTH(CQ$9,0))-CP31)))</f>
        <v>1526288.1232603644</v>
      </c>
      <c r="CR31" s="33">
        <f>IF(CR$9="",0,IF(2*CR25*SUMIFS(условия!$81:$81,условия!$8:$8,"&lt;="&amp;CR$9,условия!$9:$9,"&gt;="&amp;CR$9)/DAY(EOMONTH(CR$9,0))-2*CQ31+CR25&lt;0,CQ31-CR25,IF(OR(2*CR25*SUMIFS(условия!$81:$81,условия!$8:$8,"&lt;="&amp;CR$9,условия!$9:$9,"&gt;="&amp;CR$9)/DAY(EOMONTH(CR$9,0))-CQ31&lt;0,DAY(EOMONTH(CR$9,0))=0),0,2*CR25*SUMIFS(условия!$81:$81,условия!$8:$8,"&lt;="&amp;CR$9,условия!$9:$9,"&gt;="&amp;CR$9)/DAY(EOMONTH(CR$9,0))-CQ31)))</f>
        <v>1526288.1232603644</v>
      </c>
      <c r="CS31" s="33">
        <f>IF(CS$9="",0,IF(2*CS25*SUMIFS(условия!$81:$81,условия!$8:$8,"&lt;="&amp;CS$9,условия!$9:$9,"&gt;="&amp;CS$9)/DAY(EOMONTH(CS$9,0))-2*CR31+CS25&lt;0,CR31-CS25,IF(OR(2*CS25*SUMIFS(условия!$81:$81,условия!$8:$8,"&lt;="&amp;CS$9,условия!$9:$9,"&gt;="&amp;CS$9)/DAY(EOMONTH(CS$9,0))-CR31&lt;0,DAY(EOMONTH(CS$9,0))=0),0,2*CS25*SUMIFS(условия!$81:$81,условия!$8:$8,"&lt;="&amp;CS$9,условия!$9:$9,"&gt;="&amp;CS$9)/DAY(EOMONTH(CS$9,0))-CR31)))</f>
        <v>906227.16664189892</v>
      </c>
      <c r="CT31" s="33">
        <f>IF(CT$9="",0,IF(2*CT25*SUMIFS(условия!$81:$81,условия!$8:$8,"&lt;="&amp;CT$9,условия!$9:$9,"&gt;="&amp;CT$9)/DAY(EOMONTH(CT$9,0))-2*CS31+CT25&lt;0,CS31-CT25,IF(OR(2*CT25*SUMIFS(условия!$81:$81,условия!$8:$8,"&lt;="&amp;CT$9,условия!$9:$9,"&gt;="&amp;CT$9)/DAY(EOMONTH(CT$9,0))-CS31&lt;0,DAY(EOMONTH(CT$9,0))=0),0,2*CT25*SUMIFS(условия!$81:$81,условия!$8:$8,"&lt;="&amp;CT$9,условия!$9:$9,"&gt;="&amp;CT$9)/DAY(EOMONTH(CT$9,0))-CS31)))</f>
        <v>790610.70390552562</v>
      </c>
      <c r="CU31" s="33">
        <f>IF(CU$9="",0,IF(2*CU25*SUMIFS(условия!$81:$81,условия!$8:$8,"&lt;="&amp;CU$9,условия!$9:$9,"&gt;="&amp;CU$9)/DAY(EOMONTH(CU$9,0))-2*CT31+CU25&lt;0,CT31-CU25,IF(OR(2*CU25*SUMIFS(условия!$81:$81,условия!$8:$8,"&lt;="&amp;CU$9,условия!$9:$9,"&gt;="&amp;CU$9)/DAY(EOMONTH(CU$9,0))-CT31&lt;0,DAY(EOMONTH(CU$9,0))=0),0,2*CU25*SUMIFS(условия!$81:$81,условия!$8:$8,"&lt;="&amp;CU$9,условия!$9:$9,"&gt;="&amp;CU$9)/DAY(EOMONTH(CU$9,0))-CT31)))</f>
        <v>1371760.9635385894</v>
      </c>
      <c r="CV31" s="33">
        <f>IF(CV$9="",0,IF(2*CV25*SUMIFS(условия!$81:$81,условия!$8:$8,"&lt;="&amp;CV$9,условия!$9:$9,"&gt;="&amp;CV$9)/DAY(EOMONTH(CV$9,0))-2*CU31+CV25&lt;0,CU31-CV25,IF(OR(2*CV25*SUMIFS(условия!$81:$81,условия!$8:$8,"&lt;="&amp;CV$9,условия!$9:$9,"&gt;="&amp;CV$9)/DAY(EOMONTH(CV$9,0))-CU31&lt;0,DAY(EOMONTH(CV$9,0))=0),0,2*CV25*SUMIFS(условия!$81:$81,условия!$8:$8,"&lt;="&amp;CV$9,условия!$9:$9,"&gt;="&amp;CV$9)/DAY(EOMONTH(CV$9,0))-CU31)))</f>
        <v>673292.88789899007</v>
      </c>
      <c r="CW31" s="33">
        <f>IF(CW$9="",0,IF(2*CW25*SUMIFS(условия!$81:$81,условия!$8:$8,"&lt;="&amp;CW$9,условия!$9:$9,"&gt;="&amp;CW$9)/DAY(EOMONTH(CW$9,0))-2*CV31+CW25&lt;0,CV31-CW25,IF(OR(2*CW25*SUMIFS(условия!$81:$81,условия!$8:$8,"&lt;="&amp;CW$9,условия!$9:$9,"&gt;="&amp;CW$9)/DAY(EOMONTH(CW$9,0))-CV31&lt;0,DAY(EOMONTH(CW$9,0))=0),0,2*CW25*SUMIFS(условия!$81:$81,условия!$8:$8,"&lt;="&amp;CW$9,условия!$9:$9,"&gt;="&amp;CW$9)/DAY(EOMONTH(CW$9,0))-CV31)))</f>
        <v>2470856.0948416903</v>
      </c>
      <c r="CX31" s="33">
        <f>IF(CX$9="",0,IF(2*CX25*SUMIFS(условия!$81:$81,условия!$8:$8,"&lt;="&amp;CX$9,условия!$9:$9,"&gt;="&amp;CX$9)/DAY(EOMONTH(CX$9,0))-2*CW31+CX25&lt;0,CW31-CX25,IF(OR(2*CX25*SUMIFS(условия!$81:$81,условия!$8:$8,"&lt;="&amp;CX$9,условия!$9:$9,"&gt;="&amp;CX$9)/DAY(EOMONTH(CX$9,0))-CW31&lt;0,DAY(EOMONTH(CX$9,0))=0),0,2*CX25*SUMIFS(условия!$81:$81,условия!$8:$8,"&lt;="&amp;CX$9,условия!$9:$9,"&gt;="&amp;CX$9)/DAY(EOMONTH(CX$9,0))-CW31)))</f>
        <v>1221239.632105317</v>
      </c>
      <c r="CY31" s="33">
        <f>IF(CY$9="",0,IF(2*CY25*SUMIFS(условия!$81:$81,условия!$8:$8,"&lt;="&amp;CY$9,условия!$9:$9,"&gt;="&amp;CY$9)/DAY(EOMONTH(CY$9,0))-2*CX31+CY25&lt;0,CX31-CY25,IF(OR(2*CY25*SUMIFS(условия!$81:$81,условия!$8:$8,"&lt;="&amp;CY$9,условия!$9:$9,"&gt;="&amp;CY$9)/DAY(EOMONTH(CY$9,0))-CX31&lt;0,DAY(EOMONTH(CY$9,0))=0),0,2*CY25*SUMIFS(условия!$81:$81,условия!$8:$8,"&lt;="&amp;CY$9,условия!$9:$9,"&gt;="&amp;CY$9)/DAY(EOMONTH(CY$9,0))-CX31)))</f>
        <v>658894.80451910931</v>
      </c>
      <c r="CZ31" s="33">
        <f>IF(CZ$9="",0,IF(2*CZ25*SUMIFS(условия!$81:$81,условия!$8:$8,"&lt;="&amp;CZ$9,условия!$9:$9,"&gt;="&amp;CZ$9)/DAY(EOMONTH(CZ$9,0))-2*CY31+CZ25&lt;0,CY31-CZ25,IF(OR(2*CZ25*SUMIFS(условия!$81:$81,условия!$8:$8,"&lt;="&amp;CZ$9,условия!$9:$9,"&gt;="&amp;CZ$9)/DAY(EOMONTH(CZ$9,0))-CY31&lt;0,DAY(EOMONTH(CZ$9,0))=0),0,2*CZ25*SUMIFS(условия!$81:$81,условия!$8:$8,"&lt;="&amp;CZ$9,условия!$9:$9,"&gt;="&amp;CZ$9)/DAY(EOMONTH(CZ$9,0))-CY31)))</f>
        <v>658894.80451910931</v>
      </c>
      <c r="DA31" s="33">
        <f>IF(DA$9="",0,IF(2*DA25*SUMIFS(условия!$81:$81,условия!$8:$8,"&lt;="&amp;DA$9,условия!$9:$9,"&gt;="&amp;DA$9)/DAY(EOMONTH(DA$9,0))-2*CZ31+DA25&lt;0,CZ31-DA25,IF(OR(2*DA25*SUMIFS(условия!$81:$81,условия!$8:$8,"&lt;="&amp;DA$9,условия!$9:$9,"&gt;="&amp;DA$9)/DAY(EOMONTH(DA$9,0))-CZ31&lt;0,DAY(EOMONTH(DA$9,0))=0),0,2*DA25*SUMIFS(условия!$81:$81,условия!$8:$8,"&lt;="&amp;DA$9,условия!$9:$9,"&gt;="&amp;DA$9)/DAY(EOMONTH(DA$9,0))-CZ31)))</f>
        <v>1911439.7434460609</v>
      </c>
      <c r="DB31" s="33">
        <f>IF(DB$9="",0,IF(2*DB25*SUMIFS(условия!$81:$81,условия!$8:$8,"&lt;="&amp;DB$9,условия!$9:$9,"&gt;="&amp;DB$9)/DAY(EOMONTH(DB$9,0))-2*DA31+DB25&lt;0,DA31-DB25,IF(OR(2*DB25*SUMIFS(условия!$81:$81,условия!$8:$8,"&lt;="&amp;DB$9,условия!$9:$9,"&gt;="&amp;DB$9)/DAY(EOMONTH(DB$9,0))-DA31&lt;0,DAY(EOMONTH(DB$9,0))=0),0,2*DB25*SUMIFS(условия!$81:$81,условия!$8:$8,"&lt;="&amp;DB$9,условия!$9:$9,"&gt;="&amp;DB$9)/DAY(EOMONTH(DB$9,0))-DA31)))</f>
        <v>1837705.8168609655</v>
      </c>
      <c r="DC31" s="33">
        <f>IF(DC$9="",0,IF(2*DC25*SUMIFS(условия!$81:$81,условия!$8:$8,"&lt;="&amp;DC$9,условия!$9:$9,"&gt;="&amp;DC$9)/DAY(EOMONTH(DC$9,0))-2*DB31+DC25&lt;0,DB31-DC25,IF(OR(2*DC25*SUMIFS(условия!$81:$81,условия!$8:$8,"&lt;="&amp;DC$9,условия!$9:$9,"&gt;="&amp;DC$9)/DAY(EOMONTH(DC$9,0))-DB31&lt;0,DAY(EOMONTH(DC$9,0))=0),0,2*DC25*SUMIFS(условия!$81:$81,условия!$8:$8,"&lt;="&amp;DC$9,условия!$9:$9,"&gt;="&amp;DC$9)/DAY(EOMONTH(DC$9,0))-DB31)))</f>
        <v>760632.78158174688</v>
      </c>
      <c r="DD31" s="33">
        <f>IF(DD$9="",0,IF(2*DD25*SUMIFS(условия!$81:$81,условия!$8:$8,"&lt;="&amp;DD$9,условия!$9:$9,"&gt;="&amp;DD$9)/DAY(EOMONTH(DD$9,0))-2*DC31+DD25&lt;0,DC31-DD25,IF(OR(2*DD25*SUMIFS(условия!$81:$81,условия!$8:$8,"&lt;="&amp;DD$9,условия!$9:$9,"&gt;="&amp;DD$9)/DAY(EOMONTH(DD$9,0))-DC31&lt;0,DAY(EOMONTH(DD$9,0))=0),0,2*DD25*SUMIFS(условия!$81:$81,условия!$8:$8,"&lt;="&amp;DD$9,условия!$9:$9,"&gt;="&amp;DD$9)/DAY(EOMONTH(DD$9,0))-DC31)))</f>
        <v>760632.78158174688</v>
      </c>
      <c r="DE31" s="33">
        <f>IF(DE$9="",0,IF(2*DE25*SUMIFS(условия!$81:$81,условия!$8:$8,"&lt;="&amp;DE$9,условия!$9:$9,"&gt;="&amp;DE$9)/DAY(EOMONTH(DE$9,0))-2*DD31+DE25&lt;0,DD31-DE25,IF(OR(2*DE25*SUMIFS(условия!$81:$81,условия!$8:$8,"&lt;="&amp;DE$9,условия!$9:$9,"&gt;="&amp;DE$9)/DAY(EOMONTH(DE$9,0))-DD31&lt;0,DAY(EOMONTH(DE$9,0))=0),0,2*DE25*SUMIFS(условия!$81:$81,условия!$8:$8,"&lt;="&amp;DE$9,условия!$9:$9,"&gt;="&amp;DE$9)/DAY(EOMONTH(DE$9,0))-DD31)))</f>
        <v>295802.08080310305</v>
      </c>
      <c r="DF31" s="33">
        <f>IF(DF$9="",0,IF(2*DF25*SUMIFS(условия!$81:$81,условия!$8:$8,"&lt;="&amp;DF$9,условия!$9:$9,"&gt;="&amp;DF$9)/DAY(EOMONTH(DF$9,0))-2*DE31+DF25&lt;0,DE31-DF25,IF(OR(2*DF25*SUMIFS(условия!$81:$81,условия!$8:$8,"&lt;="&amp;DF$9,условия!$9:$9,"&gt;="&amp;DF$9)/DAY(EOMONTH(DF$9,0))-DE31&lt;0,DAY(EOMONTH(DF$9,0))=0),0,2*DF25*SUMIFS(условия!$81:$81,условия!$8:$8,"&lt;="&amp;DF$9,условия!$9:$9,"&gt;="&amp;DF$9)/DAY(EOMONTH(DF$9,0))-DE31)))</f>
        <v>395368.46711752389</v>
      </c>
      <c r="DG31" s="33">
        <f>IF(DG$9="",0,IF(2*DG25*SUMIFS(условия!$81:$81,условия!$8:$8,"&lt;="&amp;DG$9,условия!$9:$9,"&gt;="&amp;DG$9)/DAY(EOMONTH(DG$9,0))-2*DF31+DG25&lt;0,DF31-DG25,IF(OR(2*DG25*SUMIFS(условия!$81:$81,условия!$8:$8,"&lt;="&amp;DG$9,условия!$9:$9,"&gt;="&amp;DG$9)/DAY(EOMONTH(DG$9,0))-DF31&lt;0,DAY(EOMONTH(DG$9,0))=0),0,2*DG25*SUMIFS(условия!$81:$81,условия!$8:$8,"&lt;="&amp;DG$9,условия!$9:$9,"&gt;="&amp;DG$9)/DAY(EOMONTH(DG$9,0))-DF31)))</f>
        <v>911629.5593635143</v>
      </c>
      <c r="DH31" s="33">
        <f>IF(DH$9="",0,IF(2*DH25*SUMIFS(условия!$81:$81,условия!$8:$8,"&lt;="&amp;DH$9,условия!$9:$9,"&gt;="&amp;DH$9)/DAY(EOMONTH(DH$9,0))-2*DG31+DH25&lt;0,DG31-DH25,IF(OR(2*DH25*SUMIFS(условия!$81:$81,условия!$8:$8,"&lt;="&amp;DH$9,условия!$9:$9,"&gt;="&amp;DH$9)/DAY(EOMONTH(DH$9,0))-DG31&lt;0,DAY(EOMONTH(DH$9,0))=0),0,2*DH25*SUMIFS(условия!$81:$81,условия!$8:$8,"&lt;="&amp;DH$9,условия!$9:$9,"&gt;="&amp;DH$9)/DAY(EOMONTH(DH$9,0))-DG31)))</f>
        <v>973160.65198242373</v>
      </c>
      <c r="DI31" s="33">
        <f>IF(DI$9="",0,IF(2*DI25*SUMIFS(условия!$81:$81,условия!$8:$8,"&lt;="&amp;DI$9,условия!$9:$9,"&gt;="&amp;DI$9)/DAY(EOMONTH(DI$9,0))-2*DH31+DI25&lt;0,DH31-DI25,IF(OR(2*DI25*SUMIFS(условия!$81:$81,условия!$8:$8,"&lt;="&amp;DI$9,условия!$9:$9,"&gt;="&amp;DI$9)/DAY(EOMONTH(DI$9,0))-DH31&lt;0,DAY(EOMONTH(DI$9,0))=0),0,2*DI25*SUMIFS(условия!$81:$81,условия!$8:$8,"&lt;="&amp;DI$9,условия!$9:$9,"&gt;="&amp;DI$9)/DAY(EOMONTH(DI$9,0))-DH31)))</f>
        <v>1183452.3588898736</v>
      </c>
      <c r="DJ31" s="33">
        <f>IF(DJ$9="",0,IF(2*DJ25*SUMIFS(условия!$81:$81,условия!$8:$8,"&lt;="&amp;DJ$9,условия!$9:$9,"&gt;="&amp;DJ$9)/DAY(EOMONTH(DJ$9,0))-2*DI31+DJ25&lt;0,DI31-DJ25,IF(OR(2*DJ25*SUMIFS(условия!$81:$81,условия!$8:$8,"&lt;="&amp;DJ$9,условия!$9:$9,"&gt;="&amp;DJ$9)/DAY(EOMONTH(DJ$9,0))-DI31&lt;0,DAY(EOMONTH(DJ$9,0))=0),0,2*DJ25*SUMIFS(условия!$81:$81,условия!$8:$8,"&lt;="&amp;DJ$9,условия!$9:$9,"&gt;="&amp;DJ$9)/DAY(EOMONTH(DJ$9,0))-DI31)))</f>
        <v>1882757.2072947738</v>
      </c>
      <c r="DK31" s="33">
        <f>IF(DK$9="",0,IF(2*DK25*SUMIFS(условия!$81:$81,условия!$8:$8,"&lt;="&amp;DK$9,условия!$9:$9,"&gt;="&amp;DK$9)/DAY(EOMONTH(DK$9,0))-2*DJ31+DK25&lt;0,DJ31-DK25,IF(OR(2*DK25*SUMIFS(условия!$81:$81,условия!$8:$8,"&lt;="&amp;DK$9,условия!$9:$9,"&gt;="&amp;DK$9)/DAY(EOMONTH(DK$9,0))-DJ31&lt;0,DAY(EOMONTH(DK$9,0))=0),0,2*DK25*SUMIFS(условия!$81:$81,условия!$8:$8,"&lt;="&amp;DK$9,условия!$9:$9,"&gt;="&amp;DK$9)/DAY(EOMONTH(DK$9,0))-DJ31)))</f>
        <v>1334829.7323225813</v>
      </c>
      <c r="DL31" s="33">
        <f>IF(DL$9="",0,IF(2*DL25*SUMIFS(условия!$81:$81,условия!$8:$8,"&lt;="&amp;DL$9,условия!$9:$9,"&gt;="&amp;DL$9)/DAY(EOMONTH(DL$9,0))-2*DK31+DL25&lt;0,DK31-DL25,IF(OR(2*DL25*SUMIFS(условия!$81:$81,условия!$8:$8,"&lt;="&amp;DL$9,условия!$9:$9,"&gt;="&amp;DL$9)/DAY(EOMONTH(DL$9,0))-DK31&lt;0,DAY(EOMONTH(DL$9,0))=0),0,2*DL25*SUMIFS(условия!$81:$81,условия!$8:$8,"&lt;="&amp;DL$9,условия!$9:$9,"&gt;="&amp;DL$9)/DAY(EOMONTH(DL$9,0))-DK31)))</f>
        <v>963015.27181090275</v>
      </c>
      <c r="DM31" s="33">
        <f>IF(DM$9="",0,IF(2*DM25*SUMIFS(условия!$81:$81,условия!$8:$8,"&lt;="&amp;DM$9,условия!$9:$9,"&gt;="&amp;DM$9)/DAY(EOMONTH(DM$9,0))-2*DL31+DM25&lt;0,DL31-DM25,IF(OR(2*DM25*SUMIFS(условия!$81:$81,условия!$8:$8,"&lt;="&amp;DM$9,условия!$9:$9,"&gt;="&amp;DM$9)/DAY(EOMONTH(DM$9,0))-DL31&lt;0,DAY(EOMONTH(DM$9,0))=0),0,2*DM25*SUMIFS(условия!$81:$81,условия!$8:$8,"&lt;="&amp;DM$9,условия!$9:$9,"&gt;="&amp;DM$9)/DAY(EOMONTH(DM$9,0))-DL31)))</f>
        <v>1182866.1837746711</v>
      </c>
      <c r="DN31" s="33">
        <f>IF(DN$9="",0,IF(2*DN25*SUMIFS(условия!$81:$81,условия!$8:$8,"&lt;="&amp;DN$9,условия!$9:$9,"&gt;="&amp;DN$9)/DAY(EOMONTH(DN$9,0))-2*DM31+DN25&lt;0,DM31-DN25,IF(OR(2*DN25*SUMIFS(условия!$81:$81,условия!$8:$8,"&lt;="&amp;DN$9,условия!$9:$9,"&gt;="&amp;DN$9)/DAY(EOMONTH(DN$9,0))-DM31&lt;0,DAY(EOMONTH(DN$9,0))=0),0,2*DN25*SUMIFS(условия!$81:$81,условия!$8:$8,"&lt;="&amp;DN$9,условия!$9:$9,"&gt;="&amp;DN$9)/DAY(EOMONTH(DN$9,0))-DM31)))</f>
        <v>805245.27165008942</v>
      </c>
      <c r="DO31" s="33">
        <f>IF(DO$9="",0,IF(2*DO25*SUMIFS(условия!$81:$81,условия!$8:$8,"&lt;="&amp;DO$9,условия!$9:$9,"&gt;="&amp;DO$9)/DAY(EOMONTH(DO$9,0))-2*DN31+DO25&lt;0,DN31-DO25,IF(OR(2*DO25*SUMIFS(условия!$81:$81,условия!$8:$8,"&lt;="&amp;DO$9,условия!$9:$9,"&gt;="&amp;DO$9)/DAY(EOMONTH(DO$9,0))-DN31&lt;0,DAY(EOMONTH(DO$9,0))=0),0,2*DO25*SUMIFS(условия!$81:$81,условия!$8:$8,"&lt;="&amp;DO$9,условия!$9:$9,"&gt;="&amp;DO$9)/DAY(EOMONTH(DO$9,0))-DN31)))</f>
        <v>1381448.3879717151</v>
      </c>
      <c r="DP31" s="33">
        <f>IF(DP$9="",0,IF(2*DP25*SUMIFS(условия!$81:$81,условия!$8:$8,"&lt;="&amp;DP$9,условия!$9:$9,"&gt;="&amp;DP$9)/DAY(EOMONTH(DP$9,0))-2*DO31+DP25&lt;0,DO31-DP25,IF(OR(2*DP25*SUMIFS(условия!$81:$81,условия!$8:$8,"&lt;="&amp;DP$9,условия!$9:$9,"&gt;="&amp;DP$9)/DAY(EOMONTH(DP$9,0))-DO31&lt;0,DAY(EOMONTH(DP$9,0))=0),0,2*DP25*SUMIFS(условия!$81:$81,условия!$8:$8,"&lt;="&amp;DP$9,условия!$9:$9,"&gt;="&amp;DP$9)/DAY(EOMONTH(DP$9,0))-DO31)))</f>
        <v>1381448.3879717151</v>
      </c>
      <c r="DQ31" s="33">
        <f>IF(DQ$9="",0,IF(2*DQ25*SUMIFS(условия!$81:$81,условия!$8:$8,"&lt;="&amp;DQ$9,условия!$9:$9,"&gt;="&amp;DQ$9)/DAY(EOMONTH(DQ$9,0))-2*DP31+DQ25&lt;0,DP31-DQ25,IF(OR(2*DQ25*SUMIFS(условия!$81:$81,условия!$8:$8,"&lt;="&amp;DQ$9,условия!$9:$9,"&gt;="&amp;DQ$9)/DAY(EOMONTH(DQ$9,0))-DP31&lt;0,DAY(EOMONTH(DQ$9,0))=0),0,2*DQ25*SUMIFS(условия!$81:$81,условия!$8:$8,"&lt;="&amp;DQ$9,условия!$9:$9,"&gt;="&amp;DQ$9)/DAY(EOMONTH(DQ$9,0))-DP31)))</f>
        <v>584795.21778261731</v>
      </c>
      <c r="DR31" s="33">
        <f>IF(DR$9="",0,IF(2*DR25*SUMIFS(условия!$81:$81,условия!$8:$8,"&lt;="&amp;DR$9,условия!$9:$9,"&gt;="&amp;DR$9)/DAY(EOMONTH(DR$9,0))-2*DQ31+DR25&lt;0,DQ31-DR25,IF(OR(2*DR25*SUMIFS(условия!$81:$81,условия!$8:$8,"&lt;="&amp;DR$9,условия!$9:$9,"&gt;="&amp;DR$9)/DAY(EOMONTH(DR$9,0))-DQ31&lt;0,DAY(EOMONTH(DR$9,0))=0),0,2*DR25*SUMIFS(условия!$81:$81,условия!$8:$8,"&lt;="&amp;DR$9,условия!$9:$9,"&gt;="&amp;DR$9)/DAY(EOMONTH(DR$9,0))-DQ31)))</f>
        <v>500803.22668139252</v>
      </c>
      <c r="DS31" s="33">
        <f>IF(DS$9="",0,IF(2*DS25*SUMIFS(условия!$81:$81,условия!$8:$8,"&lt;="&amp;DS$9,условия!$9:$9,"&gt;="&amp;DS$9)/DAY(EOMONTH(DS$9,0))-2*DR31+DS25&lt;0,DR31-DS25,IF(OR(2*DS25*SUMIFS(условия!$81:$81,условия!$8:$8,"&lt;="&amp;DS$9,условия!$9:$9,"&gt;="&amp;DS$9)/DAY(EOMONTH(DS$9,0))-DR31&lt;0,DAY(EOMONTH(DS$9,0))=0),0,2*DS25*SUMIFS(условия!$81:$81,условия!$8:$8,"&lt;="&amp;DS$9,условия!$9:$9,"&gt;="&amp;DS$9)/DAY(EOMONTH(DS$9,0))-DR31)))</f>
        <v>1477526.5303963618</v>
      </c>
      <c r="DT31" s="33">
        <f>IF(DT$9="",0,IF(2*DT25*SUMIFS(условия!$81:$81,условия!$8:$8,"&lt;="&amp;DT$9,условия!$9:$9,"&gt;="&amp;DT$9)/DAY(EOMONTH(DT$9,0))-2*DS31+DT25&lt;0,DS31-DT25,IF(OR(2*DT25*SUMIFS(условия!$81:$81,условия!$8:$8,"&lt;="&amp;DT$9,условия!$9:$9,"&gt;="&amp;DT$9)/DAY(EOMONTH(DT$9,0))-DS31&lt;0,DAY(EOMONTH(DT$9,0))=0),0,2*DT25*SUMIFS(условия!$81:$81,условия!$8:$8,"&lt;="&amp;DT$9,условия!$9:$9,"&gt;="&amp;DT$9)/DAY(EOMONTH(DT$9,0))-DS31)))</f>
        <v>766437.7651015888</v>
      </c>
      <c r="DU31" s="33">
        <f>IF(DU$9="",0,IF(2*DU25*SUMIFS(условия!$81:$81,условия!$8:$8,"&lt;="&amp;DU$9,условия!$9:$9,"&gt;="&amp;DU$9)/DAY(EOMONTH(DU$9,0))-2*DT31+DU25&lt;0,DT31-DU25,IF(OR(2*DU25*SUMIFS(условия!$81:$81,условия!$8:$8,"&lt;="&amp;DU$9,условия!$9:$9,"&gt;="&amp;DU$9)/DAY(EOMONTH(DU$9,0))-DT31&lt;0,DAY(EOMONTH(DU$9,0))=0),0,2*DU25*SUMIFS(условия!$81:$81,условия!$8:$8,"&lt;="&amp;DU$9,условия!$9:$9,"&gt;="&amp;DU$9)/DAY(EOMONTH(DU$9,0))-DT31)))</f>
        <v>2122193.7609668006</v>
      </c>
      <c r="DV31" s="33">
        <f>IF(DV$9="",0,IF(2*DV25*SUMIFS(условия!$81:$81,условия!$8:$8,"&lt;="&amp;DV$9,условия!$9:$9,"&gt;="&amp;DV$9)/DAY(EOMONTH(DV$9,0))-2*DU31+DV25&lt;0,DU31-DV25,IF(OR(2*DV25*SUMIFS(условия!$81:$81,условия!$8:$8,"&lt;="&amp;DV$9,условия!$9:$9,"&gt;="&amp;DV$9)/DAY(EOMONTH(DV$9,0))-DU31&lt;0,DAY(EOMONTH(DV$9,0))=0),0,2*DV25*SUMIFS(условия!$81:$81,условия!$8:$8,"&lt;="&amp;DV$9,условия!$9:$9,"&gt;="&amp;DV$9)/DAY(EOMONTH(DV$9,0))-DU31)))</f>
        <v>778201.76986557618</v>
      </c>
      <c r="DW31" s="33">
        <f>IF(DW$9="",0,IF(2*DW25*SUMIFS(условия!$81:$81,условия!$8:$8,"&lt;="&amp;DW$9,условия!$9:$9,"&gt;="&amp;DW$9)/DAY(EOMONTH(DW$9,0))-2*DV31+DW25&lt;0,DV31-DW25,IF(OR(2*DW25*SUMIFS(условия!$81:$81,условия!$8:$8,"&lt;="&amp;DW$9,условия!$9:$9,"&gt;="&amp;DW$9)/DAY(EOMONTH(DW$9,0))-DV31&lt;0,DAY(EOMONTH(DW$9,0))=0),0,2*DW25*SUMIFS(условия!$81:$81,условия!$8:$8,"&lt;="&amp;DW$9,условия!$9:$9,"&gt;="&amp;DW$9)/DAY(EOMONTH(DW$9,0))-DV31)))</f>
        <v>936028.09127045167</v>
      </c>
      <c r="DX31" s="33">
        <f>IF(DX$9="",0,IF(2*DX25*SUMIFS(условия!$81:$81,условия!$8:$8,"&lt;="&amp;DX$9,условия!$9:$9,"&gt;="&amp;DX$9)/DAY(EOMONTH(DX$9,0))-2*DW31+DX25&lt;0,DW31-DX25,IF(OR(2*DX25*SUMIFS(условия!$81:$81,условия!$8:$8,"&lt;="&amp;DX$9,условия!$9:$9,"&gt;="&amp;DX$9)/DAY(EOMONTH(DX$9,0))-DW31&lt;0,DAY(EOMONTH(DX$9,0))=0),0,2*DX25*SUMIFS(условия!$81:$81,условия!$8:$8,"&lt;="&amp;DX$9,условия!$9:$9,"&gt;="&amp;DX$9)/DAY(EOMONTH(DX$9,0))-DW31)))</f>
        <v>924616.74533051765</v>
      </c>
      <c r="DY31" s="33">
        <f>IF(DY$9="",0,IF(2*DY25*SUMIFS(условия!$81:$81,условия!$8:$8,"&lt;="&amp;DY$9,условия!$9:$9,"&gt;="&amp;DY$9)/DAY(EOMONTH(DY$9,0))-2*DX31+DY25&lt;0,DX31-DY25,IF(OR(2*DY25*SUMIFS(условия!$81:$81,условия!$8:$8,"&lt;="&amp;DY$9,условия!$9:$9,"&gt;="&amp;DY$9)/DAY(EOMONTH(DY$9,0))-DX31&lt;0,DAY(EOMONTH(DY$9,0))=0),0,2*DY25*SUMIFS(условия!$81:$81,условия!$8:$8,"&lt;="&amp;DY$9,условия!$9:$9,"&gt;="&amp;DY$9)/DAY(EOMONTH(DY$9,0))-DX31)))</f>
        <v>1993557.0986230802</v>
      </c>
      <c r="DZ31" s="33">
        <f>IF(DZ$9="",0,IF(2*DZ25*SUMIFS(условия!$81:$81,условия!$8:$8,"&lt;="&amp;DZ$9,условия!$9:$9,"&gt;="&amp;DZ$9)/DAY(EOMONTH(DZ$9,0))-2*DY31+DZ25&lt;0,DY31-DZ25,IF(OR(2*DZ25*SUMIFS(условия!$81:$81,условия!$8:$8,"&lt;="&amp;DZ$9,условия!$9:$9,"&gt;="&amp;DZ$9)/DAY(EOMONTH(DZ$9,0))-DY31&lt;0,DAY(EOMONTH(DZ$9,0))=0),0,2*DZ25*SUMIFS(условия!$81:$81,условия!$8:$8,"&lt;="&amp;DZ$9,условия!$9:$9,"&gt;="&amp;DZ$9)/DAY(EOMONTH(DZ$9,0))-DY31)))</f>
        <v>1976339.3010702431</v>
      </c>
      <c r="EA31" s="33">
        <f>IF(EA$9="",0,IF(2*EA25*SUMIFS(условия!$81:$81,условия!$8:$8,"&lt;="&amp;EA$9,условия!$9:$9,"&gt;="&amp;EA$9)/DAY(EOMONTH(EA$9,0))-2*DZ31+EA25&lt;0,DZ31-EA25,IF(OR(2*EA25*SUMIFS(условия!$81:$81,условия!$8:$8,"&lt;="&amp;EA$9,условия!$9:$9,"&gt;="&amp;EA$9)/DAY(EOMONTH(EA$9,0))-DZ31&lt;0,DAY(EOMONTH(EA$9,0))=0),0,2*EA25*SUMIFS(условия!$81:$81,условия!$8:$8,"&lt;="&amp;EA$9,условия!$9:$9,"&gt;="&amp;EA$9)/DAY(EOMONTH(EA$9,0))-DZ31)))</f>
        <v>931160.58769505052</v>
      </c>
      <c r="EB31" s="33">
        <f>IF(EB$9="",0,IF(2*EB25*SUMIFS(условия!$81:$81,условия!$8:$8,"&lt;="&amp;EB$9,условия!$9:$9,"&gt;="&amp;EB$9)/DAY(EOMONTH(EB$9,0))-2*EA31+EB25&lt;0,EA31-EB25,IF(OR(2*EB25*SUMIFS(условия!$81:$81,условия!$8:$8,"&lt;="&amp;EB$9,условия!$9:$9,"&gt;="&amp;EB$9)/DAY(EOMONTH(EB$9,0))-EA31&lt;0,DAY(EOMONTH(EB$9,0))=0),0,2*EB25*SUMIFS(условия!$81:$81,условия!$8:$8,"&lt;="&amp;EB$9,условия!$9:$9,"&gt;="&amp;EB$9)/DAY(EOMONTH(EB$9,0))-EA31)))</f>
        <v>931160.58769505052</v>
      </c>
      <c r="EC31" s="33">
        <f>IF(EC$9="",0,IF(2*EC25*SUMIFS(условия!$81:$81,условия!$8:$8,"&lt;="&amp;EC$9,условия!$9:$9,"&gt;="&amp;EC$9)/DAY(EOMONTH(EC$9,0))-2*EB31+EC25&lt;0,EB31-EC25,IF(OR(2*EC25*SUMIFS(условия!$81:$81,условия!$8:$8,"&lt;="&amp;EC$9,условия!$9:$9,"&gt;="&amp;EC$9)/DAY(EOMONTH(EC$9,0))-EB31&lt;0,DAY(EOMONTH(EC$9,0))=0),0,2*EC25*SUMIFS(условия!$81:$81,условия!$8:$8,"&lt;="&amp;EC$9,условия!$9:$9,"&gt;="&amp;EC$9)/DAY(EOMONTH(EC$9,0))-EB31)))</f>
        <v>494910.53207769734</v>
      </c>
      <c r="ED31" s="33">
        <f>IF(ED$9="",0,IF(2*ED25*SUMIFS(условия!$81:$81,условия!$8:$8,"&lt;="&amp;ED$9,условия!$9:$9,"&gt;="&amp;ED$9)/DAY(EOMONTH(ED$9,0))-2*EC31+ED25&lt;0,EC31-ED25,IF(OR(2*ED25*SUMIFS(условия!$81:$81,условия!$8:$8,"&lt;="&amp;ED$9,условия!$9:$9,"&gt;="&amp;ED$9)/DAY(EOMONTH(ED$9,0))-EC31&lt;0,DAY(EOMONTH(ED$9,0))=0),0,2*ED25*SUMIFS(условия!$81:$81,условия!$8:$8,"&lt;="&amp;ED$9,условия!$9:$9,"&gt;="&amp;ED$9)/DAY(EOMONTH(ED$9,0))-EC31)))</f>
        <v>365209.02728934016</v>
      </c>
      <c r="EE31" s="33">
        <f>IF(EE$9="",0,IF(2*EE25*SUMIFS(условия!$81:$81,условия!$8:$8,"&lt;="&amp;EE$9,условия!$9:$9,"&gt;="&amp;EE$9)/DAY(EOMONTH(EE$9,0))-2*ED31+EE25&lt;0,ED31-EE25,IF(OR(2*EE25*SUMIFS(условия!$81:$81,условия!$8:$8,"&lt;="&amp;EE$9,условия!$9:$9,"&gt;="&amp;EE$9)/DAY(EOMONTH(EE$9,0))-ED31&lt;0,DAY(EOMONTH(EE$9,0))=0),0,2*EE25*SUMIFS(условия!$81:$81,условия!$8:$8,"&lt;="&amp;EE$9,условия!$9:$9,"&gt;="&amp;EE$9)/DAY(EOMONTH(EE$9,0))-ED31)))</f>
        <v>915566.31448826345</v>
      </c>
      <c r="EF31" s="33">
        <f>IF(EF$9="",0,IF(2*EF25*SUMIFS(условия!$81:$81,условия!$8:$8,"&lt;="&amp;EF$9,условия!$9:$9,"&gt;="&amp;EF$9)/DAY(EOMONTH(EF$9,0))-2*EE31+EF25&lt;0,EE31-EF25,IF(OR(2*EF25*SUMIFS(условия!$81:$81,условия!$8:$8,"&lt;="&amp;EF$9,условия!$9:$9,"&gt;="&amp;EF$9)/DAY(EOMONTH(EF$9,0))-EE31&lt;0,DAY(EOMONTH(EF$9,0))=0),0,2*EF25*SUMIFS(условия!$81:$81,условия!$8:$8,"&lt;="&amp;EF$9,условия!$9:$9,"&gt;="&amp;EF$9)/DAY(EOMONTH(EF$9,0))-EE31)))</f>
        <v>1227417.4452447719</v>
      </c>
      <c r="EG31" s="33">
        <f>IF(EG$9="",0,IF(2*EG25*SUMIFS(условия!$81:$81,условия!$8:$8,"&lt;="&amp;EG$9,условия!$9:$9,"&gt;="&amp;EG$9)/DAY(EOMONTH(EG$9,0))-2*EF31+EG25&lt;0,EF31-EG25,IF(OR(2*EG25*SUMIFS(условия!$81:$81,условия!$8:$8,"&lt;="&amp;EG$9,условия!$9:$9,"&gt;="&amp;EG$9)/DAY(EOMONTH(EG$9,0))-EF31&lt;0,DAY(EOMONTH(EG$9,0))=0),0,2*EG25*SUMIFS(условия!$81:$81,условия!$8:$8,"&lt;="&amp;EG$9,условия!$9:$9,"&gt;="&amp;EG$9)/DAY(EOMONTH(EG$9,0))-EF31)))</f>
        <v>963659.66552346712</v>
      </c>
      <c r="EH31" s="33">
        <f>IF(EH$9="",0,IF(2*EH25*SUMIFS(условия!$81:$81,условия!$8:$8,"&lt;="&amp;EH$9,условия!$9:$9,"&gt;="&amp;EH$9)/DAY(EOMONTH(EH$9,0))-2*EG31+EH25&lt;0,EG31-EH25,IF(OR(2*EH25*SUMIFS(условия!$81:$81,условия!$8:$8,"&lt;="&amp;EH$9,условия!$9:$9,"&gt;="&amp;EH$9)/DAY(EOMONTH(EH$9,0))-EG31&lt;0,DAY(EOMONTH(EH$9,0))=0),0,2*EH25*SUMIFS(условия!$81:$81,условия!$8:$8,"&lt;="&amp;EH$9,условия!$9:$9,"&gt;="&amp;EH$9)/DAY(EOMONTH(EH$9,0))-EG31)))</f>
        <v>2445130.5458224709</v>
      </c>
      <c r="EI31" s="33">
        <f>IF(EI$9="",0,IF(2*EI25*SUMIFS(условия!$81:$81,условия!$8:$8,"&lt;="&amp;EI$9,условия!$9:$9,"&gt;="&amp;EI$9)/DAY(EOMONTH(EI$9,0))-2*EH31+EI25&lt;0,EH31-EI25,IF(OR(2*EI25*SUMIFS(условия!$81:$81,условия!$8:$8,"&lt;="&amp;EI$9,условия!$9:$9,"&gt;="&amp;EI$9)/DAY(EOMONTH(EI$9,0))-EH31&lt;0,DAY(EOMONTH(EI$9,0))=0),0,2*EI25*SUMIFS(условия!$81:$81,условия!$8:$8,"&lt;="&amp;EI$9,условия!$9:$9,"&gt;="&amp;EI$9)/DAY(EOMONTH(EI$9,0))-EH31)))</f>
        <v>1919848.2321406011</v>
      </c>
      <c r="EJ31" s="3"/>
      <c r="EK31" s="3"/>
    </row>
    <row r="32" spans="1:14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2"/>
      <c r="R32" s="3"/>
      <c r="S32" s="3"/>
      <c r="T32" s="3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</row>
    <row r="33" spans="1:141" x14ac:dyDescent="0.25">
      <c r="A33" s="3"/>
      <c r="B33" s="3"/>
      <c r="C33" s="3"/>
      <c r="D33" s="3"/>
      <c r="E33" s="3"/>
      <c r="F33" s="10" t="str">
        <f>KPI!$F$36</f>
        <v>закупка СиМ в количестве единиц ГП</v>
      </c>
      <c r="G33" s="3"/>
      <c r="H33" s="3"/>
      <c r="I33" s="3"/>
      <c r="J33" s="5" t="str">
        <f>IF($F33="","",INDEX(KPI!$I$11:$I$275,SUMIFS(KPI!$E$11:$E$275,KPI!$F$11:$F$275,$F33)))</f>
        <v>ед. ГП</v>
      </c>
      <c r="K33" s="3"/>
      <c r="L33" s="3"/>
      <c r="M33" s="3"/>
      <c r="N33" s="3"/>
      <c r="O33" s="3"/>
      <c r="P33" s="3"/>
      <c r="Q33" s="12">
        <f>SUM(S33:EJ33)</f>
        <v>51903828.098658942</v>
      </c>
      <c r="R33" s="3"/>
      <c r="S33" s="3"/>
      <c r="T33" s="33">
        <f>T31-S31+T25</f>
        <v>0</v>
      </c>
      <c r="U33" s="33">
        <f>U31-T31+U25</f>
        <v>0</v>
      </c>
      <c r="V33" s="33">
        <f>V31-U31+V25</f>
        <v>0</v>
      </c>
      <c r="W33" s="33">
        <f t="shared" ref="W33:AE33" si="19">W31-V31+W25</f>
        <v>0</v>
      </c>
      <c r="X33" s="33">
        <f t="shared" si="19"/>
        <v>103120.70759625391</v>
      </c>
      <c r="Y33" s="33">
        <f t="shared" si="19"/>
        <v>0</v>
      </c>
      <c r="Z33" s="33">
        <f t="shared" si="19"/>
        <v>-3.637978807091713E-12</v>
      </c>
      <c r="AA33" s="33">
        <f t="shared" si="19"/>
        <v>0</v>
      </c>
      <c r="AB33" s="33">
        <f t="shared" si="19"/>
        <v>0</v>
      </c>
      <c r="AC33" s="33">
        <f t="shared" si="19"/>
        <v>10679.500520291389</v>
      </c>
      <c r="AD33" s="33">
        <f>AD31-AC31+AD25</f>
        <v>47431.841831425547</v>
      </c>
      <c r="AE33" s="33">
        <f t="shared" si="19"/>
        <v>0</v>
      </c>
      <c r="AF33" s="33">
        <f>AF31-AE31+AF25</f>
        <v>183945.26534859528</v>
      </c>
      <c r="AG33" s="33">
        <f t="shared" ref="AG33:CR33" si="20">AG31-AF31+AG25</f>
        <v>0</v>
      </c>
      <c r="AH33" s="33">
        <f t="shared" si="20"/>
        <v>0</v>
      </c>
      <c r="AI33" s="33">
        <f t="shared" si="20"/>
        <v>0</v>
      </c>
      <c r="AJ33" s="33">
        <f t="shared" si="20"/>
        <v>6869.719042663819</v>
      </c>
      <c r="AK33" s="33">
        <f t="shared" si="20"/>
        <v>41531.73777315297</v>
      </c>
      <c r="AL33" s="33">
        <f t="shared" si="20"/>
        <v>17566.701352757605</v>
      </c>
      <c r="AM33" s="33">
        <f t="shared" si="20"/>
        <v>94147.554630593018</v>
      </c>
      <c r="AN33" s="33">
        <f t="shared" si="20"/>
        <v>119078.45993756519</v>
      </c>
      <c r="AO33" s="33">
        <f t="shared" si="20"/>
        <v>663.68366285100637</v>
      </c>
      <c r="AP33" s="33">
        <f t="shared" si="20"/>
        <v>325878.04370447469</v>
      </c>
      <c r="AQ33" s="33">
        <f t="shared" si="20"/>
        <v>2.9103830456733704E-11</v>
      </c>
      <c r="AR33" s="33">
        <f t="shared" si="20"/>
        <v>131171.48803329843</v>
      </c>
      <c r="AS33" s="33">
        <f t="shared" si="20"/>
        <v>0</v>
      </c>
      <c r="AT33" s="33">
        <f t="shared" si="20"/>
        <v>278310.30176899076</v>
      </c>
      <c r="AU33" s="33">
        <f t="shared" si="20"/>
        <v>0</v>
      </c>
      <c r="AV33" s="33">
        <f t="shared" si="20"/>
        <v>0</v>
      </c>
      <c r="AW33" s="33">
        <f t="shared" si="20"/>
        <v>0</v>
      </c>
      <c r="AX33" s="33">
        <f t="shared" si="20"/>
        <v>85616.857440166408</v>
      </c>
      <c r="AY33" s="33">
        <f t="shared" si="20"/>
        <v>245398.75130072868</v>
      </c>
      <c r="AZ33" s="33">
        <f t="shared" si="20"/>
        <v>265333.6108220598</v>
      </c>
      <c r="BA33" s="33">
        <f t="shared" si="20"/>
        <v>87184.80749219656</v>
      </c>
      <c r="BB33" s="33">
        <f t="shared" si="20"/>
        <v>717329.03225806309</v>
      </c>
      <c r="BC33" s="33">
        <f t="shared" si="20"/>
        <v>0</v>
      </c>
      <c r="BD33" s="33">
        <f t="shared" si="20"/>
        <v>0</v>
      </c>
      <c r="BE33" s="33">
        <f t="shared" si="20"/>
        <v>0</v>
      </c>
      <c r="BF33" s="33">
        <f t="shared" si="20"/>
        <v>540395.76231655397</v>
      </c>
      <c r="BG33" s="33">
        <f t="shared" si="20"/>
        <v>0</v>
      </c>
      <c r="BH33" s="33">
        <f t="shared" si="20"/>
        <v>0</v>
      </c>
      <c r="BI33" s="33">
        <f t="shared" si="20"/>
        <v>167939.30591936081</v>
      </c>
      <c r="BJ33" s="33">
        <f t="shared" si="20"/>
        <v>0</v>
      </c>
      <c r="BK33" s="33">
        <f t="shared" si="20"/>
        <v>631937.74325116328</v>
      </c>
      <c r="BL33" s="33">
        <f t="shared" si="20"/>
        <v>98223.546473380062</v>
      </c>
      <c r="BM33" s="33">
        <f t="shared" si="20"/>
        <v>749237.43227242038</v>
      </c>
      <c r="BN33" s="33">
        <f t="shared" si="20"/>
        <v>506688.68575597316</v>
      </c>
      <c r="BO33" s="33">
        <f t="shared" si="20"/>
        <v>0</v>
      </c>
      <c r="BP33" s="33">
        <f t="shared" si="20"/>
        <v>40172.558517831145</v>
      </c>
      <c r="BQ33" s="33">
        <f t="shared" si="20"/>
        <v>1085514.0466707326</v>
      </c>
      <c r="BR33" s="33">
        <f t="shared" si="20"/>
        <v>0</v>
      </c>
      <c r="BS33" s="33">
        <f t="shared" si="20"/>
        <v>492445.46389656421</v>
      </c>
      <c r="BT33" s="33">
        <f t="shared" si="20"/>
        <v>0</v>
      </c>
      <c r="BU33" s="33">
        <f t="shared" si="20"/>
        <v>379468.51459805924</v>
      </c>
      <c r="BV33" s="33">
        <f t="shared" si="20"/>
        <v>0</v>
      </c>
      <c r="BW33" s="33">
        <f t="shared" si="20"/>
        <v>1011812.5408159614</v>
      </c>
      <c r="BX33" s="33">
        <f t="shared" si="20"/>
        <v>0</v>
      </c>
      <c r="BY33" s="33">
        <f t="shared" si="20"/>
        <v>1804054.2645950685</v>
      </c>
      <c r="BZ33" s="33">
        <f t="shared" si="20"/>
        <v>0</v>
      </c>
      <c r="CA33" s="33">
        <f t="shared" si="20"/>
        <v>0</v>
      </c>
      <c r="CB33" s="33">
        <f t="shared" si="20"/>
        <v>0</v>
      </c>
      <c r="CC33" s="33">
        <f t="shared" si="20"/>
        <v>2614576.9200801728</v>
      </c>
      <c r="CD33" s="33">
        <f t="shared" si="20"/>
        <v>0</v>
      </c>
      <c r="CE33" s="33">
        <f t="shared" si="20"/>
        <v>0</v>
      </c>
      <c r="CF33" s="33">
        <f t="shared" si="20"/>
        <v>0</v>
      </c>
      <c r="CG33" s="33">
        <f t="shared" si="20"/>
        <v>0</v>
      </c>
      <c r="CH33" s="33">
        <f t="shared" si="20"/>
        <v>0</v>
      </c>
      <c r="CI33" s="33">
        <f t="shared" si="20"/>
        <v>1033435.8652470937</v>
      </c>
      <c r="CJ33" s="33">
        <f t="shared" si="20"/>
        <v>699748.64801136917</v>
      </c>
      <c r="CK33" s="33">
        <f t="shared" si="20"/>
        <v>1157297.0156292319</v>
      </c>
      <c r="CL33" s="33">
        <f t="shared" si="20"/>
        <v>1725037.9658914567</v>
      </c>
      <c r="CM33" s="33">
        <f t="shared" si="20"/>
        <v>0</v>
      </c>
      <c r="CN33" s="33">
        <f t="shared" si="20"/>
        <v>0</v>
      </c>
      <c r="CO33" s="33">
        <f t="shared" si="20"/>
        <v>892502.12627444032</v>
      </c>
      <c r="CP33" s="33">
        <f t="shared" si="20"/>
        <v>0</v>
      </c>
      <c r="CQ33" s="33">
        <f t="shared" si="20"/>
        <v>1566011.1742181708</v>
      </c>
      <c r="CR33" s="33">
        <f t="shared" si="20"/>
        <v>0</v>
      </c>
      <c r="CS33" s="33">
        <f t="shared" ref="CS33:EI33" si="21">CS31-CR31+CS25</f>
        <v>0</v>
      </c>
      <c r="CT33" s="33">
        <f t="shared" si="21"/>
        <v>0</v>
      </c>
      <c r="CU33" s="33">
        <f t="shared" si="21"/>
        <v>1419069.2807676583</v>
      </c>
      <c r="CV33" s="33">
        <f t="shared" si="21"/>
        <v>0</v>
      </c>
      <c r="CW33" s="33">
        <f t="shared" si="21"/>
        <v>3015920.9377547139</v>
      </c>
      <c r="CX33" s="33">
        <f t="shared" si="21"/>
        <v>0</v>
      </c>
      <c r="CY33" s="33">
        <f t="shared" si="21"/>
        <v>0</v>
      </c>
      <c r="CZ33" s="33">
        <f t="shared" si="21"/>
        <v>0</v>
      </c>
      <c r="DA33" s="33">
        <f t="shared" si="21"/>
        <v>2494873.3037767839</v>
      </c>
      <c r="DB33" s="33">
        <f t="shared" si="21"/>
        <v>0</v>
      </c>
      <c r="DC33" s="33">
        <f t="shared" si="21"/>
        <v>222096.26394213759</v>
      </c>
      <c r="DD33" s="33">
        <f t="shared" si="21"/>
        <v>0</v>
      </c>
      <c r="DE33" s="33">
        <f t="shared" si="21"/>
        <v>0</v>
      </c>
      <c r="DF33" s="33">
        <f t="shared" si="21"/>
        <v>456671.16940674477</v>
      </c>
      <c r="DG33" s="33">
        <f t="shared" si="21"/>
        <v>1191543.4059278602</v>
      </c>
      <c r="DH33" s="33">
        <f t="shared" si="21"/>
        <v>1003926.1982918784</v>
      </c>
      <c r="DI33" s="33">
        <f t="shared" si="21"/>
        <v>1324541.7625248036</v>
      </c>
      <c r="DJ33" s="33">
        <f t="shared" si="21"/>
        <v>2232409.6314972239</v>
      </c>
      <c r="DK33" s="33">
        <f t="shared" si="21"/>
        <v>0</v>
      </c>
      <c r="DL33" s="33">
        <f t="shared" si="21"/>
        <v>0</v>
      </c>
      <c r="DM33" s="33">
        <f t="shared" si="21"/>
        <v>1221262.2579037028</v>
      </c>
      <c r="DN33" s="33">
        <f t="shared" si="21"/>
        <v>0</v>
      </c>
      <c r="DO33" s="33">
        <f t="shared" si="21"/>
        <v>1669549.9461325279</v>
      </c>
      <c r="DP33" s="33">
        <f t="shared" si="21"/>
        <v>0</v>
      </c>
      <c r="DQ33" s="33">
        <f t="shared" si="21"/>
        <v>0</v>
      </c>
      <c r="DR33" s="33">
        <f t="shared" si="21"/>
        <v>0</v>
      </c>
      <c r="DS33" s="33">
        <f t="shared" si="21"/>
        <v>1998860.3448718092</v>
      </c>
      <c r="DT33" s="33">
        <f t="shared" si="21"/>
        <v>0</v>
      </c>
      <c r="DU33" s="33">
        <f t="shared" si="21"/>
        <v>2848215.6176672131</v>
      </c>
      <c r="DV33" s="33">
        <f t="shared" si="21"/>
        <v>0</v>
      </c>
      <c r="DW33" s="33">
        <f t="shared" si="21"/>
        <v>1043511.7496584898</v>
      </c>
      <c r="DX33" s="33">
        <f t="shared" si="21"/>
        <v>0</v>
      </c>
      <c r="DY33" s="33">
        <f t="shared" si="21"/>
        <v>2430754.8138042418</v>
      </c>
      <c r="DZ33" s="33">
        <f>DZ31-DY31+DZ25</f>
        <v>0</v>
      </c>
      <c r="EA33" s="33">
        <f t="shared" si="21"/>
        <v>408571.23100745422</v>
      </c>
      <c r="EB33" s="33">
        <f t="shared" si="21"/>
        <v>0</v>
      </c>
      <c r="EC33" s="33">
        <f t="shared" si="21"/>
        <v>0</v>
      </c>
      <c r="ED33" s="33">
        <f t="shared" si="21"/>
        <v>314693.60088461218</v>
      </c>
      <c r="EE33" s="33">
        <f t="shared" si="21"/>
        <v>1212091.2137840185</v>
      </c>
      <c r="EF33" s="33">
        <f t="shared" si="21"/>
        <v>1383343.0106230262</v>
      </c>
      <c r="EG33" s="33">
        <f t="shared" si="21"/>
        <v>868298.72750895191</v>
      </c>
      <c r="EH33" s="33">
        <f t="shared" si="21"/>
        <v>3185865.9859719728</v>
      </c>
      <c r="EI33" s="33">
        <f t="shared" si="21"/>
        <v>0</v>
      </c>
      <c r="EJ33" s="3"/>
      <c r="EK33" s="3"/>
    </row>
    <row r="34" spans="1:14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</row>
    <row r="35" spans="1:141" x14ac:dyDescent="0.25">
      <c r="A35" s="3"/>
      <c r="B35" s="3"/>
      <c r="C35" s="3"/>
      <c r="D35" s="3"/>
      <c r="E35" s="3"/>
      <c r="F35" s="10" t="str">
        <f>KPI!$F$40</f>
        <v>себестоимость (стоимость СиМ) единицы ГП без учета скидок</v>
      </c>
      <c r="G35" s="3"/>
      <c r="H35" s="3"/>
      <c r="I35" s="3"/>
      <c r="J35" s="5" t="str">
        <f>IF($F35="","",INDEX(KPI!$I$11:$I$275,SUMIFS(KPI!$E$11:$E$275,KPI!$F$11:$F$275,$F35)))</f>
        <v>руб.</v>
      </c>
      <c r="K35" s="3"/>
      <c r="L35" s="3"/>
      <c r="M35" s="3"/>
      <c r="N35" s="3"/>
      <c r="O35" s="3"/>
      <c r="P35" s="3"/>
      <c r="Q35" s="12">
        <f>условия!$Q$83</f>
        <v>100</v>
      </c>
      <c r="R35" s="3"/>
      <c r="S35" s="52">
        <f>Q35</f>
        <v>100</v>
      </c>
      <c r="T35" s="33">
        <f>S35+SUMIFS(условия!$83:$83,условия!$8:$8,"&lt;="&amp;T$9,условия!$9:$9,"&gt;="&amp;T$9)*SUMIFS(условия!$85:$85,условия!$8:$8,"&lt;="&amp;T$9,условия!$9:$9,"&gt;="&amp;T$9)*SUMIFS(условия!$Q$87:$Q$98,условия!$L$87:$L$98,MONTH(T$9))</f>
        <v>101.2</v>
      </c>
      <c r="U35" s="33">
        <f>T35+SUMIFS(условия!$83:$83,условия!$8:$8,"&lt;="&amp;U$9,условия!$9:$9,"&gt;="&amp;U$9)*SUMIFS(условия!$85:$85,условия!$8:$8,"&lt;="&amp;U$9,условия!$9:$9,"&gt;="&amp;U$9)*SUMIFS(условия!$Q$87:$Q$98,условия!$L$87:$L$98,MONTH(U$9))</f>
        <v>101.8</v>
      </c>
      <c r="V35" s="33">
        <f>U35+SUMIFS(условия!$83:$83,условия!$8:$8,"&lt;="&amp;V$9,условия!$9:$9,"&gt;="&amp;V$9)*SUMIFS(условия!$85:$85,условия!$8:$8,"&lt;="&amp;V$9,условия!$9:$9,"&gt;="&amp;V$9)*SUMIFS(условия!$Q$87:$Q$98,условия!$L$87:$L$98,MONTH(V$9))</f>
        <v>103</v>
      </c>
      <c r="W35" s="33">
        <f>V35+SUMIFS(условия!$83:$83,условия!$8:$8,"&lt;="&amp;W$9,условия!$9:$9,"&gt;="&amp;W$9)*SUMIFS(условия!$85:$85,условия!$8:$8,"&lt;="&amp;W$9,условия!$9:$9,"&gt;="&amp;W$9)*SUMIFS(условия!$Q$87:$Q$98,условия!$L$87:$L$98,MONTH(W$9))</f>
        <v>102.64</v>
      </c>
      <c r="X35" s="33">
        <f>W35+SUMIFS(условия!$83:$83,условия!$8:$8,"&lt;="&amp;X$9,условия!$9:$9,"&gt;="&amp;X$9)*SUMIFS(условия!$85:$85,условия!$8:$8,"&lt;="&amp;X$9,условия!$9:$9,"&gt;="&amp;X$9)*SUMIFS(условия!$Q$87:$Q$98,условия!$L$87:$L$98,MONTH(X$9))</f>
        <v>102.4</v>
      </c>
      <c r="Y35" s="33">
        <f>X35+SUMIFS(условия!$83:$83,условия!$8:$8,"&lt;="&amp;Y$9,условия!$9:$9,"&gt;="&amp;Y$9)*SUMIFS(условия!$85:$85,условия!$8:$8,"&lt;="&amp;Y$9,условия!$9:$9,"&gt;="&amp;Y$9)*SUMIFS(условия!$Q$87:$Q$98,условия!$L$87:$L$98,MONTH(Y$9))</f>
        <v>102.16000000000001</v>
      </c>
      <c r="Z35" s="33">
        <f>Y35+SUMIFS(условия!$83:$83,условия!$8:$8,"&lt;="&amp;Z$9,условия!$9:$9,"&gt;="&amp;Z$9)*SUMIFS(условия!$85:$85,условия!$8:$8,"&lt;="&amp;Z$9,условия!$9:$9,"&gt;="&amp;Z$9)*SUMIFS(условия!$Q$87:$Q$98,условия!$L$87:$L$98,MONTH(Z$9))</f>
        <v>102.76</v>
      </c>
      <c r="AA35" s="33">
        <f>Z35+SUMIFS(условия!$83:$83,условия!$8:$8,"&lt;="&amp;AA$9,условия!$9:$9,"&gt;="&amp;AA$9)*SUMIFS(условия!$85:$85,условия!$8:$8,"&lt;="&amp;AA$9,условия!$9:$9,"&gt;="&amp;AA$9)*SUMIFS(условия!$Q$87:$Q$98,условия!$L$87:$L$98,MONTH(AA$9))</f>
        <v>103.36</v>
      </c>
      <c r="AB35" s="33">
        <f>AA35+SUMIFS(условия!$83:$83,условия!$8:$8,"&lt;="&amp;AB$9,условия!$9:$9,"&gt;="&amp;AB$9)*SUMIFS(условия!$85:$85,условия!$8:$8,"&lt;="&amp;AB$9,условия!$9:$9,"&gt;="&amp;AB$9)*SUMIFS(условия!$Q$87:$Q$98,условия!$L$87:$L$98,MONTH(AB$9))</f>
        <v>104.56</v>
      </c>
      <c r="AC35" s="33">
        <f>AB35+SUMIFS(условия!$83:$83,условия!$8:$8,"&lt;="&amp;AC$9,условия!$9:$9,"&gt;="&amp;AC$9)*SUMIFS(условия!$85:$85,условия!$8:$8,"&lt;="&amp;AC$9,условия!$9:$9,"&gt;="&amp;AC$9)*SUMIFS(условия!$Q$87:$Q$98,условия!$L$87:$L$98,MONTH(AC$9))</f>
        <v>106.96000000000001</v>
      </c>
      <c r="AD35" s="33">
        <f>AC35+SUMIFS(условия!$83:$83,условия!$8:$8,"&lt;="&amp;AD$9,условия!$9:$9,"&gt;="&amp;AD$9)*SUMIFS(условия!$85:$85,условия!$8:$8,"&lt;="&amp;AD$9,условия!$9:$9,"&gt;="&amp;AD$9)*SUMIFS(условия!$Q$87:$Q$98,условия!$L$87:$L$98,MONTH(AD$9))</f>
        <v>109.36000000000001</v>
      </c>
      <c r="AE35" s="33">
        <f>AD35+SUMIFS(условия!$83:$83,условия!$8:$8,"&lt;="&amp;AE$9,условия!$9:$9,"&gt;="&amp;AE$9)*SUMIFS(условия!$85:$85,условия!$8:$8,"&lt;="&amp;AE$9,условия!$9:$9,"&gt;="&amp;AE$9)*SUMIFS(условия!$Q$87:$Q$98,условия!$L$87:$L$98,MONTH(AE$9))</f>
        <v>112.00000000000001</v>
      </c>
      <c r="AF35" s="33">
        <f>AE35+SUMIFS(условия!$83:$83,условия!$8:$8,"&lt;="&amp;AF$9,условия!$9:$9,"&gt;="&amp;AF$9)*SUMIFS(условия!$85:$85,условия!$8:$8,"&lt;="&amp;AF$9,условия!$9:$9,"&gt;="&amp;AF$9)*SUMIFS(условия!$Q$87:$Q$98,условия!$L$87:$L$98,MONTH(AF$9))</f>
        <v>113.34400000000001</v>
      </c>
      <c r="AG35" s="33">
        <f>AF35+SUMIFS(условия!$83:$83,условия!$8:$8,"&lt;="&amp;AG$9,условия!$9:$9,"&gt;="&amp;AG$9)*SUMIFS(условия!$85:$85,условия!$8:$8,"&lt;="&amp;AG$9,условия!$9:$9,"&gt;="&amp;AG$9)*SUMIFS(условия!$Q$87:$Q$98,условия!$L$87:$L$98,MONTH(AG$9))</f>
        <v>114.01600000000001</v>
      </c>
      <c r="AH35" s="33">
        <f>AG35+SUMIFS(условия!$83:$83,условия!$8:$8,"&lt;="&amp;AH$9,условия!$9:$9,"&gt;="&amp;AH$9)*SUMIFS(условия!$85:$85,условия!$8:$8,"&lt;="&amp;AH$9,условия!$9:$9,"&gt;="&amp;AH$9)*SUMIFS(условия!$Q$87:$Q$98,условия!$L$87:$L$98,MONTH(AH$9))</f>
        <v>115.36</v>
      </c>
      <c r="AI35" s="33">
        <f>AH35+SUMIFS(условия!$83:$83,условия!$8:$8,"&lt;="&amp;AI$9,условия!$9:$9,"&gt;="&amp;AI$9)*SUMIFS(условия!$85:$85,условия!$8:$8,"&lt;="&amp;AI$9,условия!$9:$9,"&gt;="&amp;AI$9)*SUMIFS(условия!$Q$87:$Q$98,условия!$L$87:$L$98,MONTH(AI$9))</f>
        <v>114.9568</v>
      </c>
      <c r="AJ35" s="33">
        <f>AI35+SUMIFS(условия!$83:$83,условия!$8:$8,"&lt;="&amp;AJ$9,условия!$9:$9,"&gt;="&amp;AJ$9)*SUMIFS(условия!$85:$85,условия!$8:$8,"&lt;="&amp;AJ$9,условия!$9:$9,"&gt;="&amp;AJ$9)*SUMIFS(условия!$Q$87:$Q$98,условия!$L$87:$L$98,MONTH(AJ$9))</f>
        <v>114.688</v>
      </c>
      <c r="AK35" s="33">
        <f>AJ35+SUMIFS(условия!$83:$83,условия!$8:$8,"&lt;="&amp;AK$9,условия!$9:$9,"&gt;="&amp;AK$9)*SUMIFS(условия!$85:$85,условия!$8:$8,"&lt;="&amp;AK$9,условия!$9:$9,"&gt;="&amp;AK$9)*SUMIFS(условия!$Q$87:$Q$98,условия!$L$87:$L$98,MONTH(AK$9))</f>
        <v>114.4192</v>
      </c>
      <c r="AL35" s="33">
        <f>AK35+SUMIFS(условия!$83:$83,условия!$8:$8,"&lt;="&amp;AL$9,условия!$9:$9,"&gt;="&amp;AL$9)*SUMIFS(условия!$85:$85,условия!$8:$8,"&lt;="&amp;AL$9,условия!$9:$9,"&gt;="&amp;AL$9)*SUMIFS(условия!$Q$87:$Q$98,условия!$L$87:$L$98,MONTH(AL$9))</f>
        <v>115.0912</v>
      </c>
      <c r="AM35" s="33">
        <f>AL35+SUMIFS(условия!$83:$83,условия!$8:$8,"&lt;="&amp;AM$9,условия!$9:$9,"&gt;="&amp;AM$9)*SUMIFS(условия!$85:$85,условия!$8:$8,"&lt;="&amp;AM$9,условия!$9:$9,"&gt;="&amp;AM$9)*SUMIFS(условия!$Q$87:$Q$98,условия!$L$87:$L$98,MONTH(AM$9))</f>
        <v>115.7632</v>
      </c>
      <c r="AN35" s="33">
        <f>AM35+SUMIFS(условия!$83:$83,условия!$8:$8,"&lt;="&amp;AN$9,условия!$9:$9,"&gt;="&amp;AN$9)*SUMIFS(условия!$85:$85,условия!$8:$8,"&lt;="&amp;AN$9,условия!$9:$9,"&gt;="&amp;AN$9)*SUMIFS(условия!$Q$87:$Q$98,условия!$L$87:$L$98,MONTH(AN$9))</f>
        <v>117.10719999999999</v>
      </c>
      <c r="AO35" s="33">
        <f>AN35+SUMIFS(условия!$83:$83,условия!$8:$8,"&lt;="&amp;AO$9,условия!$9:$9,"&gt;="&amp;AO$9)*SUMIFS(условия!$85:$85,условия!$8:$8,"&lt;="&amp;AO$9,условия!$9:$9,"&gt;="&amp;AO$9)*SUMIFS(условия!$Q$87:$Q$98,условия!$L$87:$L$98,MONTH(AO$9))</f>
        <v>119.79519999999999</v>
      </c>
      <c r="AP35" s="33">
        <f>AO35+SUMIFS(условия!$83:$83,условия!$8:$8,"&lt;="&amp;AP$9,условия!$9:$9,"&gt;="&amp;AP$9)*SUMIFS(условия!$85:$85,условия!$8:$8,"&lt;="&amp;AP$9,условия!$9:$9,"&gt;="&amp;AP$9)*SUMIFS(условия!$Q$87:$Q$98,условия!$L$87:$L$98,MONTH(AP$9))</f>
        <v>122.4832</v>
      </c>
      <c r="AQ35" s="33">
        <f>AP35+SUMIFS(условия!$83:$83,условия!$8:$8,"&lt;="&amp;AQ$9,условия!$9:$9,"&gt;="&amp;AQ$9)*SUMIFS(условия!$85:$85,условия!$8:$8,"&lt;="&amp;AQ$9,условия!$9:$9,"&gt;="&amp;AQ$9)*SUMIFS(условия!$Q$87:$Q$98,условия!$L$87:$L$98,MONTH(AQ$9))</f>
        <v>125.44</v>
      </c>
      <c r="AR35" s="33">
        <f>AQ35+SUMIFS(условия!$83:$83,условия!$8:$8,"&lt;="&amp;AR$9,условия!$9:$9,"&gt;="&amp;AR$9)*SUMIFS(условия!$85:$85,условия!$8:$8,"&lt;="&amp;AR$9,условия!$9:$9,"&gt;="&amp;AR$9)*SUMIFS(условия!$Q$87:$Q$98,условия!$L$87:$L$98,MONTH(AR$9))</f>
        <v>126.6944</v>
      </c>
      <c r="AS35" s="33">
        <f>AR35+SUMIFS(условия!$83:$83,условия!$8:$8,"&lt;="&amp;AS$9,условия!$9:$9,"&gt;="&amp;AS$9)*SUMIFS(условия!$85:$85,условия!$8:$8,"&lt;="&amp;AS$9,условия!$9:$9,"&gt;="&amp;AS$9)*SUMIFS(условия!$Q$87:$Q$98,условия!$L$87:$L$98,MONTH(AS$9))</f>
        <v>127.3216</v>
      </c>
      <c r="AT35" s="33">
        <f>AS35+SUMIFS(условия!$83:$83,условия!$8:$8,"&lt;="&amp;AT$9,условия!$9:$9,"&gt;="&amp;AT$9)*SUMIFS(условия!$85:$85,условия!$8:$8,"&lt;="&amp;AT$9,условия!$9:$9,"&gt;="&amp;AT$9)*SUMIFS(условия!$Q$87:$Q$98,условия!$L$87:$L$98,MONTH(AT$9))</f>
        <v>128.57599999999999</v>
      </c>
      <c r="AU35" s="33">
        <f>AT35+SUMIFS(условия!$83:$83,условия!$8:$8,"&lt;="&amp;AU$9,условия!$9:$9,"&gt;="&amp;AU$9)*SUMIFS(условия!$85:$85,условия!$8:$8,"&lt;="&amp;AU$9,условия!$9:$9,"&gt;="&amp;AU$9)*SUMIFS(условия!$Q$87:$Q$98,условия!$L$87:$L$98,MONTH(AU$9))</f>
        <v>128.19968</v>
      </c>
      <c r="AV35" s="33">
        <f>AU35+SUMIFS(условия!$83:$83,условия!$8:$8,"&lt;="&amp;AV$9,условия!$9:$9,"&gt;="&amp;AV$9)*SUMIFS(условия!$85:$85,условия!$8:$8,"&lt;="&amp;AV$9,условия!$9:$9,"&gt;="&amp;AV$9)*SUMIFS(условия!$Q$87:$Q$98,условия!$L$87:$L$98,MONTH(AV$9))</f>
        <v>127.94880000000001</v>
      </c>
      <c r="AW35" s="33">
        <f>AV35+SUMIFS(условия!$83:$83,условия!$8:$8,"&lt;="&amp;AW$9,условия!$9:$9,"&gt;="&amp;AW$9)*SUMIFS(условия!$85:$85,условия!$8:$8,"&lt;="&amp;AW$9,условия!$9:$9,"&gt;="&amp;AW$9)*SUMIFS(условия!$Q$87:$Q$98,условия!$L$87:$L$98,MONTH(AW$9))</f>
        <v>127.69792000000001</v>
      </c>
      <c r="AX35" s="33">
        <f>AW35+SUMIFS(условия!$83:$83,условия!$8:$8,"&lt;="&amp;AX$9,условия!$9:$9,"&gt;="&amp;AX$9)*SUMIFS(условия!$85:$85,условия!$8:$8,"&lt;="&amp;AX$9,условия!$9:$9,"&gt;="&amp;AX$9)*SUMIFS(условия!$Q$87:$Q$98,условия!$L$87:$L$98,MONTH(AX$9))</f>
        <v>128.32512</v>
      </c>
      <c r="AY35" s="33">
        <f>AX35+SUMIFS(условия!$83:$83,условия!$8:$8,"&lt;="&amp;AY$9,условия!$9:$9,"&gt;="&amp;AY$9)*SUMIFS(условия!$85:$85,условия!$8:$8,"&lt;="&amp;AY$9,условия!$9:$9,"&gt;="&amp;AY$9)*SUMIFS(условия!$Q$87:$Q$98,условия!$L$87:$L$98,MONTH(AY$9))</f>
        <v>128.95231999999999</v>
      </c>
      <c r="AZ35" s="33">
        <f>AY35+SUMIFS(условия!$83:$83,условия!$8:$8,"&lt;="&amp;AZ$9,условия!$9:$9,"&gt;="&amp;AZ$9)*SUMIFS(условия!$85:$85,условия!$8:$8,"&lt;="&amp;AZ$9,условия!$9:$9,"&gt;="&amp;AZ$9)*SUMIFS(условия!$Q$87:$Q$98,условия!$L$87:$L$98,MONTH(AZ$9))</f>
        <v>130.20671999999999</v>
      </c>
      <c r="BA35" s="33">
        <f>AZ35+SUMIFS(условия!$83:$83,условия!$8:$8,"&lt;="&amp;BA$9,условия!$9:$9,"&gt;="&amp;BA$9)*SUMIFS(условия!$85:$85,условия!$8:$8,"&lt;="&amp;BA$9,условия!$9:$9,"&gt;="&amp;BA$9)*SUMIFS(условия!$Q$87:$Q$98,условия!$L$87:$L$98,MONTH(BA$9))</f>
        <v>132.71552</v>
      </c>
      <c r="BB35" s="33">
        <f>BA35+SUMIFS(условия!$83:$83,условия!$8:$8,"&lt;="&amp;BB$9,условия!$9:$9,"&gt;="&amp;BB$9)*SUMIFS(условия!$85:$85,условия!$8:$8,"&lt;="&amp;BB$9,условия!$9:$9,"&gt;="&amp;BB$9)*SUMIFS(условия!$Q$87:$Q$98,условия!$L$87:$L$98,MONTH(BB$9))</f>
        <v>135.22432000000001</v>
      </c>
      <c r="BC35" s="33">
        <f>BB35+SUMIFS(условия!$83:$83,условия!$8:$8,"&lt;="&amp;BC$9,условия!$9:$9,"&gt;="&amp;BC$9)*SUMIFS(условия!$85:$85,условия!$8:$8,"&lt;="&amp;BC$9,условия!$9:$9,"&gt;="&amp;BC$9)*SUMIFS(условия!$Q$87:$Q$98,условия!$L$87:$L$98,MONTH(BC$9))</f>
        <v>137.98400000000001</v>
      </c>
      <c r="BD35" s="33">
        <f>BC35+SUMIFS(условия!$83:$83,условия!$8:$8,"&lt;="&amp;BD$9,условия!$9:$9,"&gt;="&amp;BD$9)*SUMIFS(условия!$85:$85,условия!$8:$8,"&lt;="&amp;BD$9,условия!$9:$9,"&gt;="&amp;BD$9)*SUMIFS(условия!$Q$87:$Q$98,условия!$L$87:$L$98,MONTH(BD$9))</f>
        <v>139.36384000000001</v>
      </c>
      <c r="BE35" s="33">
        <f>BD35+SUMIFS(условия!$83:$83,условия!$8:$8,"&lt;="&amp;BE$9,условия!$9:$9,"&gt;="&amp;BE$9)*SUMIFS(условия!$85:$85,условия!$8:$8,"&lt;="&amp;BE$9,условия!$9:$9,"&gt;="&amp;BE$9)*SUMIFS(условия!$Q$87:$Q$98,условия!$L$87:$L$98,MONTH(BE$9))</f>
        <v>140.05376000000001</v>
      </c>
      <c r="BF35" s="33">
        <f>BE35+SUMIFS(условия!$83:$83,условия!$8:$8,"&lt;="&amp;BF$9,условия!$9:$9,"&gt;="&amp;BF$9)*SUMIFS(условия!$85:$85,условия!$8:$8,"&lt;="&amp;BF$9,условия!$9:$9,"&gt;="&amp;BF$9)*SUMIFS(условия!$Q$87:$Q$98,условия!$L$87:$L$98,MONTH(BF$9))</f>
        <v>141.43360000000001</v>
      </c>
      <c r="BG35" s="33">
        <f>BF35+SUMIFS(условия!$83:$83,условия!$8:$8,"&lt;="&amp;BG$9,условия!$9:$9,"&gt;="&amp;BG$9)*SUMIFS(условия!$85:$85,условия!$8:$8,"&lt;="&amp;BG$9,условия!$9:$9,"&gt;="&amp;BG$9)*SUMIFS(условия!$Q$87:$Q$98,условия!$L$87:$L$98,MONTH(BG$9))</f>
        <v>141.01964800000002</v>
      </c>
      <c r="BH35" s="33">
        <f>BG35+SUMIFS(условия!$83:$83,условия!$8:$8,"&lt;="&amp;BH$9,условия!$9:$9,"&gt;="&amp;BH$9)*SUMIFS(условия!$85:$85,условия!$8:$8,"&lt;="&amp;BH$9,условия!$9:$9,"&gt;="&amp;BH$9)*SUMIFS(условия!$Q$87:$Q$98,условия!$L$87:$L$98,MONTH(BH$9))</f>
        <v>140.74368000000001</v>
      </c>
      <c r="BI35" s="33">
        <f>BH35+SUMIFS(условия!$83:$83,условия!$8:$8,"&lt;="&amp;BI$9,условия!$9:$9,"&gt;="&amp;BI$9)*SUMIFS(условия!$85:$85,условия!$8:$8,"&lt;="&amp;BI$9,условия!$9:$9,"&gt;="&amp;BI$9)*SUMIFS(условия!$Q$87:$Q$98,условия!$L$87:$L$98,MONTH(BI$9))</f>
        <v>140.46771200000001</v>
      </c>
      <c r="BJ35" s="33">
        <f>BI35+SUMIFS(условия!$83:$83,условия!$8:$8,"&lt;="&amp;BJ$9,условия!$9:$9,"&gt;="&amp;BJ$9)*SUMIFS(условия!$85:$85,условия!$8:$8,"&lt;="&amp;BJ$9,условия!$9:$9,"&gt;="&amp;BJ$9)*SUMIFS(условия!$Q$87:$Q$98,условия!$L$87:$L$98,MONTH(BJ$9))</f>
        <v>141.15763200000001</v>
      </c>
      <c r="BK35" s="33">
        <f>BJ35+SUMIFS(условия!$83:$83,условия!$8:$8,"&lt;="&amp;BK$9,условия!$9:$9,"&gt;="&amp;BK$9)*SUMIFS(условия!$85:$85,условия!$8:$8,"&lt;="&amp;BK$9,условия!$9:$9,"&gt;="&amp;BK$9)*SUMIFS(условия!$Q$87:$Q$98,условия!$L$87:$L$98,MONTH(BK$9))</f>
        <v>141.84755200000001</v>
      </c>
      <c r="BL35" s="33">
        <f>BK35+SUMIFS(условия!$83:$83,условия!$8:$8,"&lt;="&amp;BL$9,условия!$9:$9,"&gt;="&amp;BL$9)*SUMIFS(условия!$85:$85,условия!$8:$8,"&lt;="&amp;BL$9,условия!$9:$9,"&gt;="&amp;BL$9)*SUMIFS(условия!$Q$87:$Q$98,условия!$L$87:$L$98,MONTH(BL$9))</f>
        <v>143.22739200000001</v>
      </c>
      <c r="BM35" s="33">
        <f>BL35+SUMIFS(условия!$83:$83,условия!$8:$8,"&lt;="&amp;BM$9,условия!$9:$9,"&gt;="&amp;BM$9)*SUMIFS(условия!$85:$85,условия!$8:$8,"&lt;="&amp;BM$9,условия!$9:$9,"&gt;="&amp;BM$9)*SUMIFS(условия!$Q$87:$Q$98,условия!$L$87:$L$98,MONTH(BM$9))</f>
        <v>145.98707200000001</v>
      </c>
      <c r="BN35" s="33">
        <f>BM35+SUMIFS(условия!$83:$83,условия!$8:$8,"&lt;="&amp;BN$9,условия!$9:$9,"&gt;="&amp;BN$9)*SUMIFS(условия!$85:$85,условия!$8:$8,"&lt;="&amp;BN$9,условия!$9:$9,"&gt;="&amp;BN$9)*SUMIFS(условия!$Q$87:$Q$98,условия!$L$87:$L$98,MONTH(BN$9))</f>
        <v>148.74675200000001</v>
      </c>
      <c r="BO35" s="33">
        <f>BN35+SUMIFS(условия!$83:$83,условия!$8:$8,"&lt;="&amp;BO$9,условия!$9:$9,"&gt;="&amp;BO$9)*SUMIFS(условия!$85:$85,условия!$8:$8,"&lt;="&amp;BO$9,условия!$9:$9,"&gt;="&amp;BO$9)*SUMIFS(условия!$Q$87:$Q$98,условия!$L$87:$L$98,MONTH(BO$9))</f>
        <v>151.78240000000002</v>
      </c>
      <c r="BP35" s="33">
        <f>BO35+SUMIFS(условия!$83:$83,условия!$8:$8,"&lt;="&amp;BP$9,условия!$9:$9,"&gt;="&amp;BP$9)*SUMIFS(условия!$85:$85,условия!$8:$8,"&lt;="&amp;BP$9,условия!$9:$9,"&gt;="&amp;BP$9)*SUMIFS(условия!$Q$87:$Q$98,условия!$L$87:$L$98,MONTH(BP$9))</f>
        <v>153.30022400000001</v>
      </c>
      <c r="BQ35" s="33">
        <f>BP35+SUMIFS(условия!$83:$83,условия!$8:$8,"&lt;="&amp;BQ$9,условия!$9:$9,"&gt;="&amp;BQ$9)*SUMIFS(условия!$85:$85,условия!$8:$8,"&lt;="&amp;BQ$9,условия!$9:$9,"&gt;="&amp;BQ$9)*SUMIFS(условия!$Q$87:$Q$98,условия!$L$87:$L$98,MONTH(BQ$9))</f>
        <v>154.05913600000002</v>
      </c>
      <c r="BR35" s="33">
        <f>BQ35+SUMIFS(условия!$83:$83,условия!$8:$8,"&lt;="&amp;BR$9,условия!$9:$9,"&gt;="&amp;BR$9)*SUMIFS(условия!$85:$85,условия!$8:$8,"&lt;="&amp;BR$9,условия!$9:$9,"&gt;="&amp;BR$9)*SUMIFS(условия!$Q$87:$Q$98,условия!$L$87:$L$98,MONTH(BR$9))</f>
        <v>155.57696000000001</v>
      </c>
      <c r="BS35" s="33">
        <f>BR35+SUMIFS(условия!$83:$83,условия!$8:$8,"&lt;="&amp;BS$9,условия!$9:$9,"&gt;="&amp;BS$9)*SUMIFS(условия!$85:$85,условия!$8:$8,"&lt;="&amp;BS$9,условия!$9:$9,"&gt;="&amp;BS$9)*SUMIFS(условия!$Q$87:$Q$98,условия!$L$87:$L$98,MONTH(BS$9))</f>
        <v>155.12161280000001</v>
      </c>
      <c r="BT35" s="33">
        <f>BS35+SUMIFS(условия!$83:$83,условия!$8:$8,"&lt;="&amp;BT$9,условия!$9:$9,"&gt;="&amp;BT$9)*SUMIFS(условия!$85:$85,условия!$8:$8,"&lt;="&amp;BT$9,условия!$9:$9,"&gt;="&amp;BT$9)*SUMIFS(условия!$Q$87:$Q$98,условия!$L$87:$L$98,MONTH(BT$9))</f>
        <v>154.818048</v>
      </c>
      <c r="BU35" s="33">
        <f>BT35+SUMIFS(условия!$83:$83,условия!$8:$8,"&lt;="&amp;BU$9,условия!$9:$9,"&gt;="&amp;BU$9)*SUMIFS(условия!$85:$85,условия!$8:$8,"&lt;="&amp;BU$9,условия!$9:$9,"&gt;="&amp;BU$9)*SUMIFS(условия!$Q$87:$Q$98,условия!$L$87:$L$98,MONTH(BU$9))</f>
        <v>154.5144832</v>
      </c>
      <c r="BV35" s="33">
        <f>BU35+SUMIFS(условия!$83:$83,условия!$8:$8,"&lt;="&amp;BV$9,условия!$9:$9,"&gt;="&amp;BV$9)*SUMIFS(условия!$85:$85,условия!$8:$8,"&lt;="&amp;BV$9,условия!$9:$9,"&gt;="&amp;BV$9)*SUMIFS(условия!$Q$87:$Q$98,условия!$L$87:$L$98,MONTH(BV$9))</f>
        <v>155.27339520000001</v>
      </c>
      <c r="BW35" s="33">
        <f>BV35+SUMIFS(условия!$83:$83,условия!$8:$8,"&lt;="&amp;BW$9,условия!$9:$9,"&gt;="&amp;BW$9)*SUMIFS(условия!$85:$85,условия!$8:$8,"&lt;="&amp;BW$9,условия!$9:$9,"&gt;="&amp;BW$9)*SUMIFS(условия!$Q$87:$Q$98,условия!$L$87:$L$98,MONTH(BW$9))</f>
        <v>156.03230720000002</v>
      </c>
      <c r="BX35" s="33">
        <f>BW35+SUMIFS(условия!$83:$83,условия!$8:$8,"&lt;="&amp;BX$9,условия!$9:$9,"&gt;="&amp;BX$9)*SUMIFS(условия!$85:$85,условия!$8:$8,"&lt;="&amp;BX$9,условия!$9:$9,"&gt;="&amp;BX$9)*SUMIFS(условия!$Q$87:$Q$98,условия!$L$87:$L$98,MONTH(BX$9))</f>
        <v>157.55013120000001</v>
      </c>
      <c r="BY35" s="33">
        <f>BX35+SUMIFS(условия!$83:$83,условия!$8:$8,"&lt;="&amp;BY$9,условия!$9:$9,"&gt;="&amp;BY$9)*SUMIFS(условия!$85:$85,условия!$8:$8,"&lt;="&amp;BY$9,условия!$9:$9,"&gt;="&amp;BY$9)*SUMIFS(условия!$Q$87:$Q$98,условия!$L$87:$L$98,MONTH(BY$9))</f>
        <v>160.58577920000002</v>
      </c>
      <c r="BZ35" s="33">
        <f>BY35+SUMIFS(условия!$83:$83,условия!$8:$8,"&lt;="&amp;BZ$9,условия!$9:$9,"&gt;="&amp;BZ$9)*SUMIFS(условия!$85:$85,условия!$8:$8,"&lt;="&amp;BZ$9,условия!$9:$9,"&gt;="&amp;BZ$9)*SUMIFS(условия!$Q$87:$Q$98,условия!$L$87:$L$98,MONTH(BZ$9))</f>
        <v>163.62142720000003</v>
      </c>
      <c r="CA35" s="33">
        <f>BZ35+SUMIFS(условия!$83:$83,условия!$8:$8,"&lt;="&amp;CA$9,условия!$9:$9,"&gt;="&amp;CA$9)*SUMIFS(условия!$85:$85,условия!$8:$8,"&lt;="&amp;CA$9,условия!$9:$9,"&gt;="&amp;CA$9)*SUMIFS(условия!$Q$87:$Q$98,условия!$L$87:$L$98,MONTH(CA$9))</f>
        <v>166.96064000000004</v>
      </c>
      <c r="CB35" s="33">
        <f>CA35+SUMIFS(условия!$83:$83,условия!$8:$8,"&lt;="&amp;CB$9,условия!$9:$9,"&gt;="&amp;CB$9)*SUMIFS(условия!$85:$85,условия!$8:$8,"&lt;="&amp;CB$9,условия!$9:$9,"&gt;="&amp;CB$9)*SUMIFS(условия!$Q$87:$Q$98,условия!$L$87:$L$98,MONTH(CB$9))</f>
        <v>168.29632512000003</v>
      </c>
      <c r="CC35" s="33">
        <f>CB35+SUMIFS(условия!$83:$83,условия!$8:$8,"&lt;="&amp;CC$9,условия!$9:$9,"&gt;="&amp;CC$9)*SUMIFS(условия!$85:$85,условия!$8:$8,"&lt;="&amp;CC$9,условия!$9:$9,"&gt;="&amp;CC$9)*SUMIFS(условия!$Q$87:$Q$98,условия!$L$87:$L$98,MONTH(CC$9))</f>
        <v>168.96416768000003</v>
      </c>
      <c r="CD35" s="33">
        <f>CC35+SUMIFS(условия!$83:$83,условия!$8:$8,"&lt;="&amp;CD$9,условия!$9:$9,"&gt;="&amp;CD$9)*SUMIFS(условия!$85:$85,условия!$8:$8,"&lt;="&amp;CD$9,условия!$9:$9,"&gt;="&amp;CD$9)*SUMIFS(условия!$Q$87:$Q$98,условия!$L$87:$L$98,MONTH(CD$9))</f>
        <v>170.29985280000002</v>
      </c>
      <c r="CE35" s="33">
        <f>CD35+SUMIFS(условия!$83:$83,условия!$8:$8,"&lt;="&amp;CE$9,условия!$9:$9,"&gt;="&amp;CE$9)*SUMIFS(условия!$85:$85,условия!$8:$8,"&lt;="&amp;CE$9,условия!$9:$9,"&gt;="&amp;CE$9)*SUMIFS(условия!$Q$87:$Q$98,условия!$L$87:$L$98,MONTH(CE$9))</f>
        <v>169.89914726400002</v>
      </c>
      <c r="CF35" s="33">
        <f>CE35+SUMIFS(условия!$83:$83,условия!$8:$8,"&lt;="&amp;CF$9,условия!$9:$9,"&gt;="&amp;CF$9)*SUMIFS(условия!$85:$85,условия!$8:$8,"&lt;="&amp;CF$9,условия!$9:$9,"&gt;="&amp;CF$9)*SUMIFS(условия!$Q$87:$Q$98,условия!$L$87:$L$98,MONTH(CF$9))</f>
        <v>169.63201024000003</v>
      </c>
      <c r="CG35" s="33">
        <f>CF35+SUMIFS(условия!$83:$83,условия!$8:$8,"&lt;="&amp;CG$9,условия!$9:$9,"&gt;="&amp;CG$9)*SUMIFS(условия!$85:$85,условия!$8:$8,"&lt;="&amp;CG$9,условия!$9:$9,"&gt;="&amp;CG$9)*SUMIFS(условия!$Q$87:$Q$98,условия!$L$87:$L$98,MONTH(CG$9))</f>
        <v>169.36487321600003</v>
      </c>
      <c r="CH35" s="33">
        <f>CG35+SUMIFS(условия!$83:$83,условия!$8:$8,"&lt;="&amp;CH$9,условия!$9:$9,"&gt;="&amp;CH$9)*SUMIFS(условия!$85:$85,условия!$8:$8,"&lt;="&amp;CH$9,условия!$9:$9,"&gt;="&amp;CH$9)*SUMIFS(условия!$Q$87:$Q$98,условия!$L$87:$L$98,MONTH(CH$9))</f>
        <v>170.03271577600003</v>
      </c>
      <c r="CI35" s="33">
        <f>CH35+SUMIFS(условия!$83:$83,условия!$8:$8,"&lt;="&amp;CI$9,условия!$9:$9,"&gt;="&amp;CI$9)*SUMIFS(условия!$85:$85,условия!$8:$8,"&lt;="&amp;CI$9,условия!$9:$9,"&gt;="&amp;CI$9)*SUMIFS(условия!$Q$87:$Q$98,условия!$L$87:$L$98,MONTH(CI$9))</f>
        <v>170.70055833600003</v>
      </c>
      <c r="CJ35" s="33">
        <f>CI35+SUMIFS(условия!$83:$83,условия!$8:$8,"&lt;="&amp;CJ$9,условия!$9:$9,"&gt;="&amp;CJ$9)*SUMIFS(условия!$85:$85,условия!$8:$8,"&lt;="&amp;CJ$9,условия!$9:$9,"&gt;="&amp;CJ$9)*SUMIFS(условия!$Q$87:$Q$98,условия!$L$87:$L$98,MONTH(CJ$9))</f>
        <v>172.03624345600002</v>
      </c>
      <c r="CK35" s="33">
        <f>CJ35+SUMIFS(условия!$83:$83,условия!$8:$8,"&lt;="&amp;CK$9,условия!$9:$9,"&gt;="&amp;CK$9)*SUMIFS(условия!$85:$85,условия!$8:$8,"&lt;="&amp;CK$9,условия!$9:$9,"&gt;="&amp;CK$9)*SUMIFS(условия!$Q$87:$Q$98,условия!$L$87:$L$98,MONTH(CK$9))</f>
        <v>174.70761369600001</v>
      </c>
      <c r="CL35" s="33">
        <f>CK35+SUMIFS(условия!$83:$83,условия!$8:$8,"&lt;="&amp;CL$9,условия!$9:$9,"&gt;="&amp;CL$9)*SUMIFS(условия!$85:$85,условия!$8:$8,"&lt;="&amp;CL$9,условия!$9:$9,"&gt;="&amp;CL$9)*SUMIFS(условия!$Q$87:$Q$98,условия!$L$87:$L$98,MONTH(CL$9))</f>
        <v>177.378983936</v>
      </c>
      <c r="CM35" s="33">
        <f>CL35+SUMIFS(условия!$83:$83,условия!$8:$8,"&lt;="&amp;CM$9,условия!$9:$9,"&gt;="&amp;CM$9)*SUMIFS(условия!$85:$85,условия!$8:$8,"&lt;="&amp;CM$9,условия!$9:$9,"&gt;="&amp;CM$9)*SUMIFS(условия!$Q$87:$Q$98,условия!$L$87:$L$98,MONTH(CM$9))</f>
        <v>180.31749120000001</v>
      </c>
      <c r="CN35" s="33">
        <f>CM35+SUMIFS(условия!$83:$83,условия!$8:$8,"&lt;="&amp;CN$9,условия!$9:$9,"&gt;="&amp;CN$9)*SUMIFS(условия!$85:$85,условия!$8:$8,"&lt;="&amp;CN$9,условия!$9:$9,"&gt;="&amp;CN$9)*SUMIFS(условия!$Q$87:$Q$98,условия!$L$87:$L$98,MONTH(CN$9))</f>
        <v>181.57971363839999</v>
      </c>
      <c r="CO35" s="33">
        <f>CN35+SUMIFS(условия!$83:$83,условия!$8:$8,"&lt;="&amp;CO$9,условия!$9:$9,"&gt;="&amp;CO$9)*SUMIFS(условия!$85:$85,условия!$8:$8,"&lt;="&amp;CO$9,условия!$9:$9,"&gt;="&amp;CO$9)*SUMIFS(условия!$Q$87:$Q$98,условия!$L$87:$L$98,MONTH(CO$9))</f>
        <v>182.21082485759999</v>
      </c>
      <c r="CP35" s="33">
        <f>CO35+SUMIFS(условия!$83:$83,условия!$8:$8,"&lt;="&amp;CP$9,условия!$9:$9,"&gt;="&amp;CP$9)*SUMIFS(условия!$85:$85,условия!$8:$8,"&lt;="&amp;CP$9,условия!$9:$9,"&gt;="&amp;CP$9)*SUMIFS(условия!$Q$87:$Q$98,условия!$L$87:$L$98,MONTH(CP$9))</f>
        <v>183.47304729599998</v>
      </c>
      <c r="CQ35" s="33">
        <f>CP35+SUMIFS(условия!$83:$83,условия!$8:$8,"&lt;="&amp;CQ$9,условия!$9:$9,"&gt;="&amp;CQ$9)*SUMIFS(условия!$85:$85,условия!$8:$8,"&lt;="&amp;CQ$9,условия!$9:$9,"&gt;="&amp;CQ$9)*SUMIFS(условия!$Q$87:$Q$98,условия!$L$87:$L$98,MONTH(CQ$9))</f>
        <v>183.09438056447996</v>
      </c>
      <c r="CR35" s="33">
        <f>CQ35+SUMIFS(условия!$83:$83,условия!$8:$8,"&lt;="&amp;CR$9,условия!$9:$9,"&gt;="&amp;CR$9)*SUMIFS(условия!$85:$85,условия!$8:$8,"&lt;="&amp;CR$9,условия!$9:$9,"&gt;="&amp;CR$9)*SUMIFS(условия!$Q$87:$Q$98,условия!$L$87:$L$98,MONTH(CR$9))</f>
        <v>182.84193607679995</v>
      </c>
      <c r="CS35" s="33">
        <f>CR35+SUMIFS(условия!$83:$83,условия!$8:$8,"&lt;="&amp;CS$9,условия!$9:$9,"&gt;="&amp;CS$9)*SUMIFS(условия!$85:$85,условия!$8:$8,"&lt;="&amp;CS$9,условия!$9:$9,"&gt;="&amp;CS$9)*SUMIFS(условия!$Q$87:$Q$98,условия!$L$87:$L$98,MONTH(CS$9))</f>
        <v>182.58949158911994</v>
      </c>
      <c r="CT35" s="33">
        <f>CS35+SUMIFS(условия!$83:$83,условия!$8:$8,"&lt;="&amp;CT$9,условия!$9:$9,"&gt;="&amp;CT$9)*SUMIFS(условия!$85:$85,условия!$8:$8,"&lt;="&amp;CT$9,условия!$9:$9,"&gt;="&amp;CT$9)*SUMIFS(условия!$Q$87:$Q$98,условия!$L$87:$L$98,MONTH(CT$9))</f>
        <v>183.22060280831994</v>
      </c>
      <c r="CU35" s="33">
        <f>CT35+SUMIFS(условия!$83:$83,условия!$8:$8,"&lt;="&amp;CU$9,условия!$9:$9,"&gt;="&amp;CU$9)*SUMIFS(условия!$85:$85,условия!$8:$8,"&lt;="&amp;CU$9,условия!$9:$9,"&gt;="&amp;CU$9)*SUMIFS(условия!$Q$87:$Q$98,условия!$L$87:$L$98,MONTH(CU$9))</f>
        <v>183.85171402751993</v>
      </c>
      <c r="CV35" s="33">
        <f>CU35+SUMIFS(условия!$83:$83,условия!$8:$8,"&lt;="&amp;CV$9,условия!$9:$9,"&gt;="&amp;CV$9)*SUMIFS(условия!$85:$85,условия!$8:$8,"&lt;="&amp;CV$9,условия!$9:$9,"&gt;="&amp;CV$9)*SUMIFS(условия!$Q$87:$Q$98,условия!$L$87:$L$98,MONTH(CV$9))</f>
        <v>185.11393646591992</v>
      </c>
      <c r="CW35" s="33">
        <f>CV35+SUMIFS(условия!$83:$83,условия!$8:$8,"&lt;="&amp;CW$9,условия!$9:$9,"&gt;="&amp;CW$9)*SUMIFS(условия!$85:$85,условия!$8:$8,"&lt;="&amp;CW$9,условия!$9:$9,"&gt;="&amp;CW$9)*SUMIFS(условия!$Q$87:$Q$98,условия!$L$87:$L$98,MONTH(CW$9))</f>
        <v>187.63838134271992</v>
      </c>
      <c r="CX35" s="33">
        <f>CW35+SUMIFS(условия!$83:$83,условия!$8:$8,"&lt;="&amp;CX$9,условия!$9:$9,"&gt;="&amp;CX$9)*SUMIFS(условия!$85:$85,условия!$8:$8,"&lt;="&amp;CX$9,условия!$9:$9,"&gt;="&amp;CX$9)*SUMIFS(условия!$Q$87:$Q$98,условия!$L$87:$L$98,MONTH(CX$9))</f>
        <v>190.16282621951993</v>
      </c>
      <c r="CY35" s="33">
        <f>CX35+SUMIFS(условия!$83:$83,условия!$8:$8,"&lt;="&amp;CY$9,условия!$9:$9,"&gt;="&amp;CY$9)*SUMIFS(условия!$85:$85,условия!$8:$8,"&lt;="&amp;CY$9,условия!$9:$9,"&gt;="&amp;CY$9)*SUMIFS(условия!$Q$87:$Q$98,условия!$L$87:$L$98,MONTH(CY$9))</f>
        <v>192.93971558399994</v>
      </c>
      <c r="CZ35" s="33">
        <f>CY35+SUMIFS(условия!$83:$83,условия!$8:$8,"&lt;="&amp;CZ$9,условия!$9:$9,"&gt;="&amp;CZ$9)*SUMIFS(условия!$85:$85,условия!$8:$8,"&lt;="&amp;CZ$9,условия!$9:$9,"&gt;="&amp;CZ$9)*SUMIFS(условия!$Q$87:$Q$98,условия!$L$87:$L$98,MONTH(CZ$9))</f>
        <v>193.90441416191993</v>
      </c>
      <c r="DA35" s="33">
        <f>CZ35+SUMIFS(условия!$83:$83,условия!$8:$8,"&lt;="&amp;DA$9,условия!$9:$9,"&gt;="&amp;DA$9)*SUMIFS(условия!$85:$85,условия!$8:$8,"&lt;="&amp;DA$9,условия!$9:$9,"&gt;="&amp;DA$9)*SUMIFS(условия!$Q$87:$Q$98,условия!$L$87:$L$98,MONTH(DA$9))</f>
        <v>194.38676345087993</v>
      </c>
      <c r="DB35" s="33">
        <f>DA35+SUMIFS(условия!$83:$83,условия!$8:$8,"&lt;="&amp;DB$9,условия!$9:$9,"&gt;="&amp;DB$9)*SUMIFS(условия!$85:$85,условия!$8:$8,"&lt;="&amp;DB$9,условия!$9:$9,"&gt;="&amp;DB$9)*SUMIFS(условия!$Q$87:$Q$98,условия!$L$87:$L$98,MONTH(DB$9))</f>
        <v>195.35146202879992</v>
      </c>
      <c r="DC35" s="33">
        <f>DB35+SUMIFS(условия!$83:$83,условия!$8:$8,"&lt;="&amp;DC$9,условия!$9:$9,"&gt;="&amp;DC$9)*SUMIFS(условия!$85:$85,условия!$8:$8,"&lt;="&amp;DC$9,условия!$9:$9,"&gt;="&amp;DC$9)*SUMIFS(условия!$Q$87:$Q$98,условия!$L$87:$L$98,MONTH(DC$9))</f>
        <v>195.06205245542392</v>
      </c>
      <c r="DD35" s="33">
        <f>DC35+SUMIFS(условия!$83:$83,условия!$8:$8,"&lt;="&amp;DD$9,условия!$9:$9,"&gt;="&amp;DD$9)*SUMIFS(условия!$85:$85,условия!$8:$8,"&lt;="&amp;DD$9,условия!$9:$9,"&gt;="&amp;DD$9)*SUMIFS(условия!$Q$87:$Q$98,условия!$L$87:$L$98,MONTH(DD$9))</f>
        <v>194.86911273983992</v>
      </c>
      <c r="DE35" s="33">
        <f>DD35+SUMIFS(условия!$83:$83,условия!$8:$8,"&lt;="&amp;DE$9,условия!$9:$9,"&gt;="&amp;DE$9)*SUMIFS(условия!$85:$85,условия!$8:$8,"&lt;="&amp;DE$9,условия!$9:$9,"&gt;="&amp;DE$9)*SUMIFS(условия!$Q$87:$Q$98,условия!$L$87:$L$98,MONTH(DE$9))</f>
        <v>194.67617302425592</v>
      </c>
      <c r="DF35" s="33">
        <f>DE35+SUMIFS(условия!$83:$83,условия!$8:$8,"&lt;="&amp;DF$9,условия!$9:$9,"&gt;="&amp;DF$9)*SUMIFS(условия!$85:$85,условия!$8:$8,"&lt;="&amp;DF$9,условия!$9:$9,"&gt;="&amp;DF$9)*SUMIFS(условия!$Q$87:$Q$98,условия!$L$87:$L$98,MONTH(DF$9))</f>
        <v>195.15852231321591</v>
      </c>
      <c r="DG35" s="33">
        <f>DF35+SUMIFS(условия!$83:$83,условия!$8:$8,"&lt;="&amp;DG$9,условия!$9:$9,"&gt;="&amp;DG$9)*SUMIFS(условия!$85:$85,условия!$8:$8,"&lt;="&amp;DG$9,условия!$9:$9,"&gt;="&amp;DG$9)*SUMIFS(условия!$Q$87:$Q$98,условия!$L$87:$L$98,MONTH(DG$9))</f>
        <v>195.64087160217591</v>
      </c>
      <c r="DH35" s="33">
        <f>DG35+SUMIFS(условия!$83:$83,условия!$8:$8,"&lt;="&amp;DH$9,условия!$9:$9,"&gt;="&amp;DH$9)*SUMIFS(условия!$85:$85,условия!$8:$8,"&lt;="&amp;DH$9,условия!$9:$9,"&gt;="&amp;DH$9)*SUMIFS(условия!$Q$87:$Q$98,условия!$L$87:$L$98,MONTH(DH$9))</f>
        <v>196.6055701800959</v>
      </c>
      <c r="DI35" s="33">
        <f>DH35+SUMIFS(условия!$83:$83,условия!$8:$8,"&lt;="&amp;DI$9,условия!$9:$9,"&gt;="&amp;DI$9)*SUMIFS(условия!$85:$85,условия!$8:$8,"&lt;="&amp;DI$9,условия!$9:$9,"&gt;="&amp;DI$9)*SUMIFS(условия!$Q$87:$Q$98,условия!$L$87:$L$98,MONTH(DI$9))</f>
        <v>198.5349673359359</v>
      </c>
      <c r="DJ35" s="33">
        <f>DI35+SUMIFS(условия!$83:$83,условия!$8:$8,"&lt;="&amp;DJ$9,условия!$9:$9,"&gt;="&amp;DJ$9)*SUMIFS(условия!$85:$85,условия!$8:$8,"&lt;="&amp;DJ$9,условия!$9:$9,"&gt;="&amp;DJ$9)*SUMIFS(условия!$Q$87:$Q$98,условия!$L$87:$L$98,MONTH(DJ$9))</f>
        <v>200.46436449177591</v>
      </c>
      <c r="DK35" s="33">
        <f>DJ35+SUMIFS(условия!$83:$83,условия!$8:$8,"&lt;="&amp;DK$9,условия!$9:$9,"&gt;="&amp;DK$9)*SUMIFS(условия!$85:$85,условия!$8:$8,"&lt;="&amp;DK$9,условия!$9:$9,"&gt;="&amp;DK$9)*SUMIFS(условия!$Q$87:$Q$98,условия!$L$87:$L$98,MONTH(DK$9))</f>
        <v>202.58670136319992</v>
      </c>
      <c r="DL35" s="33">
        <f>DK35+SUMIFS(условия!$83:$83,условия!$8:$8,"&lt;="&amp;DL$9,условия!$9:$9,"&gt;="&amp;DL$9)*SUMIFS(условия!$85:$85,условия!$8:$8,"&lt;="&amp;DL$9,условия!$9:$9,"&gt;="&amp;DL$9)*SUMIFS(условия!$Q$87:$Q$98,условия!$L$87:$L$98,MONTH(DL$9))</f>
        <v>203.39704816865273</v>
      </c>
      <c r="DM35" s="33">
        <f>DL35+SUMIFS(условия!$83:$83,условия!$8:$8,"&lt;="&amp;DM$9,условия!$9:$9,"&gt;="&amp;DM$9)*SUMIFS(условия!$85:$85,условия!$8:$8,"&lt;="&amp;DM$9,условия!$9:$9,"&gt;="&amp;DM$9)*SUMIFS(условия!$Q$87:$Q$98,условия!$L$87:$L$98,MONTH(DM$9))</f>
        <v>203.80222157137914</v>
      </c>
      <c r="DN35" s="33">
        <f>DM35+SUMIFS(условия!$83:$83,условия!$8:$8,"&lt;="&amp;DN$9,условия!$9:$9,"&gt;="&amp;DN$9)*SUMIFS(условия!$85:$85,условия!$8:$8,"&lt;="&amp;DN$9,условия!$9:$9,"&gt;="&amp;DN$9)*SUMIFS(условия!$Q$87:$Q$98,условия!$L$87:$L$98,MONTH(DN$9))</f>
        <v>204.61256837683194</v>
      </c>
      <c r="DO35" s="33">
        <f>DN35+SUMIFS(условия!$83:$83,условия!$8:$8,"&lt;="&amp;DO$9,условия!$9:$9,"&gt;="&amp;DO$9)*SUMIFS(условия!$85:$85,условия!$8:$8,"&lt;="&amp;DO$9,условия!$9:$9,"&gt;="&amp;DO$9)*SUMIFS(условия!$Q$87:$Q$98,условия!$L$87:$L$98,MONTH(DO$9))</f>
        <v>204.36946433519611</v>
      </c>
      <c r="DP35" s="33">
        <f>DO35+SUMIFS(условия!$83:$83,условия!$8:$8,"&lt;="&amp;DP$9,условия!$9:$9,"&gt;="&amp;DP$9)*SUMIFS(условия!$85:$85,условия!$8:$8,"&lt;="&amp;DP$9,условия!$9:$9,"&gt;="&amp;DP$9)*SUMIFS(условия!$Q$87:$Q$98,условия!$L$87:$L$98,MONTH(DP$9))</f>
        <v>204.20739497410554</v>
      </c>
      <c r="DQ35" s="33">
        <f>DP35+SUMIFS(условия!$83:$83,условия!$8:$8,"&lt;="&amp;DQ$9,условия!$9:$9,"&gt;="&amp;DQ$9)*SUMIFS(условия!$85:$85,условия!$8:$8,"&lt;="&amp;DQ$9,условия!$9:$9,"&gt;="&amp;DQ$9)*SUMIFS(условия!$Q$87:$Q$98,условия!$L$87:$L$98,MONTH(DQ$9))</f>
        <v>204.04532561301497</v>
      </c>
      <c r="DR35" s="33">
        <f>DQ35+SUMIFS(условия!$83:$83,условия!$8:$8,"&lt;="&amp;DR$9,условия!$9:$9,"&gt;="&amp;DR$9)*SUMIFS(условия!$85:$85,условия!$8:$8,"&lt;="&amp;DR$9,условия!$9:$9,"&gt;="&amp;DR$9)*SUMIFS(условия!$Q$87:$Q$98,условия!$L$87:$L$98,MONTH(DR$9))</f>
        <v>204.45049901574137</v>
      </c>
      <c r="DS35" s="33">
        <f>DR35+SUMIFS(условия!$83:$83,условия!$8:$8,"&lt;="&amp;DS$9,условия!$9:$9,"&gt;="&amp;DS$9)*SUMIFS(условия!$85:$85,условия!$8:$8,"&lt;="&amp;DS$9,условия!$9:$9,"&gt;="&amp;DS$9)*SUMIFS(условия!$Q$87:$Q$98,условия!$L$87:$L$98,MONTH(DS$9))</f>
        <v>204.85567241846778</v>
      </c>
      <c r="DT35" s="33">
        <f>DS35+SUMIFS(условия!$83:$83,условия!$8:$8,"&lt;="&amp;DT$9,условия!$9:$9,"&gt;="&amp;DT$9)*SUMIFS(условия!$85:$85,условия!$8:$8,"&lt;="&amp;DT$9,условия!$9:$9,"&gt;="&amp;DT$9)*SUMIFS(условия!$Q$87:$Q$98,условия!$L$87:$L$98,MONTH(DT$9))</f>
        <v>205.66601922392059</v>
      </c>
      <c r="DU35" s="33">
        <f>DT35+SUMIFS(условия!$83:$83,условия!$8:$8,"&lt;="&amp;DU$9,условия!$9:$9,"&gt;="&amp;DU$9)*SUMIFS(условия!$85:$85,условия!$8:$8,"&lt;="&amp;DU$9,условия!$9:$9,"&gt;="&amp;DU$9)*SUMIFS(условия!$Q$87:$Q$98,условия!$L$87:$L$98,MONTH(DU$9))</f>
        <v>207.28671283482618</v>
      </c>
      <c r="DV35" s="33">
        <f>DU35+SUMIFS(условия!$83:$83,условия!$8:$8,"&lt;="&amp;DV$9,условия!$9:$9,"&gt;="&amp;DV$9)*SUMIFS(условия!$85:$85,условия!$8:$8,"&lt;="&amp;DV$9,условия!$9:$9,"&gt;="&amp;DV$9)*SUMIFS(условия!$Q$87:$Q$98,условия!$L$87:$L$98,MONTH(DV$9))</f>
        <v>208.90740644573177</v>
      </c>
      <c r="DW35" s="33">
        <f>DV35+SUMIFS(условия!$83:$83,условия!$8:$8,"&lt;="&amp;DW$9,условия!$9:$9,"&gt;="&amp;DW$9)*SUMIFS(условия!$85:$85,условия!$8:$8,"&lt;="&amp;DW$9,условия!$9:$9,"&gt;="&amp;DW$9)*SUMIFS(условия!$Q$87:$Q$98,условия!$L$87:$L$98,MONTH(DW$9))</f>
        <v>210.69016941772793</v>
      </c>
      <c r="DX35" s="33">
        <f>DW35+SUMIFS(условия!$83:$83,условия!$8:$8,"&lt;="&amp;DX$9,условия!$9:$9,"&gt;="&amp;DX$9)*SUMIFS(условия!$85:$85,условия!$8:$8,"&lt;="&amp;DX$9,условия!$9:$9,"&gt;="&amp;DX$9)*SUMIFS(условия!$Q$87:$Q$98,условия!$L$87:$L$98,MONTH(DX$9))</f>
        <v>211.32223992598111</v>
      </c>
      <c r="DY35" s="33">
        <f>DX35+SUMIFS(условия!$83:$83,условия!$8:$8,"&lt;="&amp;DY$9,условия!$9:$9,"&gt;="&amp;DY$9)*SUMIFS(условия!$85:$85,условия!$8:$8,"&lt;="&amp;DY$9,условия!$9:$9,"&gt;="&amp;DY$9)*SUMIFS(условия!$Q$87:$Q$98,условия!$L$87:$L$98,MONTH(DY$9))</f>
        <v>211.63827518010771</v>
      </c>
      <c r="DZ35" s="33">
        <f>DY35+SUMIFS(условия!$83:$83,условия!$8:$8,"&lt;="&amp;DZ$9,условия!$9:$9,"&gt;="&amp;DZ$9)*SUMIFS(условия!$85:$85,условия!$8:$8,"&lt;="&amp;DZ$9,условия!$9:$9,"&gt;="&amp;DZ$9)*SUMIFS(условия!$Q$87:$Q$98,условия!$L$87:$L$98,MONTH(DZ$9))</f>
        <v>212.27034568836089</v>
      </c>
      <c r="EA35" s="33">
        <f>DZ35+SUMIFS(условия!$83:$83,условия!$8:$8,"&lt;="&amp;EA$9,условия!$9:$9,"&gt;="&amp;EA$9)*SUMIFS(условия!$85:$85,условия!$8:$8,"&lt;="&amp;EA$9,условия!$9:$9,"&gt;="&amp;EA$9)*SUMIFS(условия!$Q$87:$Q$98,условия!$L$87:$L$98,MONTH(EA$9))</f>
        <v>212.08072453588494</v>
      </c>
      <c r="EB35" s="33">
        <f>EA35+SUMIFS(условия!$83:$83,условия!$8:$8,"&lt;="&amp;EB$9,условия!$9:$9,"&gt;="&amp;EB$9)*SUMIFS(условия!$85:$85,условия!$8:$8,"&lt;="&amp;EB$9,условия!$9:$9,"&gt;="&amp;EB$9)*SUMIFS(условия!$Q$87:$Q$98,условия!$L$87:$L$98,MONTH(EB$9))</f>
        <v>211.95431043423432</v>
      </c>
      <c r="EC35" s="33">
        <f>EB35+SUMIFS(условия!$83:$83,условия!$8:$8,"&lt;="&amp;EC$9,условия!$9:$9,"&gt;="&amp;EC$9)*SUMIFS(условия!$85:$85,условия!$8:$8,"&lt;="&amp;EC$9,условия!$9:$9,"&gt;="&amp;EC$9)*SUMIFS(условия!$Q$87:$Q$98,условия!$L$87:$L$98,MONTH(EC$9))</f>
        <v>211.82789633258369</v>
      </c>
      <c r="ED35" s="33">
        <f>EC35+SUMIFS(условия!$83:$83,условия!$8:$8,"&lt;="&amp;ED$9,условия!$9:$9,"&gt;="&amp;ED$9)*SUMIFS(условия!$85:$85,условия!$8:$8,"&lt;="&amp;ED$9,условия!$9:$9,"&gt;="&amp;ED$9)*SUMIFS(условия!$Q$87:$Q$98,условия!$L$87:$L$98,MONTH(ED$9))</f>
        <v>212.14393158671029</v>
      </c>
      <c r="EE35" s="33">
        <f>ED35+SUMIFS(условия!$83:$83,условия!$8:$8,"&lt;="&amp;EE$9,условия!$9:$9,"&gt;="&amp;EE$9)*SUMIFS(условия!$85:$85,условия!$8:$8,"&lt;="&amp;EE$9,условия!$9:$9,"&gt;="&amp;EE$9)*SUMIFS(условия!$Q$87:$Q$98,условия!$L$87:$L$98,MONTH(EE$9))</f>
        <v>212.4599668408369</v>
      </c>
      <c r="EF35" s="33">
        <f>EE35+SUMIFS(условия!$83:$83,условия!$8:$8,"&lt;="&amp;EF$9,условия!$9:$9,"&gt;="&amp;EF$9)*SUMIFS(условия!$85:$85,условия!$8:$8,"&lt;="&amp;EF$9,условия!$9:$9,"&gt;="&amp;EF$9)*SUMIFS(условия!$Q$87:$Q$98,условия!$L$87:$L$98,MONTH(EF$9))</f>
        <v>213.09203734909008</v>
      </c>
      <c r="EG35" s="33">
        <f>EF35+SUMIFS(условия!$83:$83,условия!$8:$8,"&lt;="&amp;EG$9,условия!$9:$9,"&gt;="&amp;EG$9)*SUMIFS(условия!$85:$85,условия!$8:$8,"&lt;="&amp;EG$9,условия!$9:$9,"&gt;="&amp;EG$9)*SUMIFS(условия!$Q$87:$Q$98,условия!$L$87:$L$98,MONTH(EG$9))</f>
        <v>214.35617836559643</v>
      </c>
      <c r="EH35" s="33">
        <f>EG35+SUMIFS(условия!$83:$83,условия!$8:$8,"&lt;="&amp;EH$9,условия!$9:$9,"&gt;="&amp;EH$9)*SUMIFS(условия!$85:$85,условия!$8:$8,"&lt;="&amp;EH$9,условия!$9:$9,"&gt;="&amp;EH$9)*SUMIFS(условия!$Q$87:$Q$98,условия!$L$87:$L$98,MONTH(EH$9))</f>
        <v>215.62031938210279</v>
      </c>
      <c r="EI35" s="33">
        <f>EH35+SUMIFS(условия!$83:$83,условия!$8:$8,"&lt;="&amp;EI$9,условия!$9:$9,"&gt;="&amp;EI$9)*SUMIFS(условия!$85:$85,условия!$8:$8,"&lt;="&amp;EI$9,условия!$9:$9,"&gt;="&amp;EI$9)*SUMIFS(условия!$Q$87:$Q$98,условия!$L$87:$L$98,MONTH(EI$9))</f>
        <v>217.0108745002598</v>
      </c>
      <c r="EJ35" s="3"/>
      <c r="EK35" s="3"/>
    </row>
    <row r="36" spans="1:14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</row>
    <row r="37" spans="1:141" x14ac:dyDescent="0.25">
      <c r="A37" s="3"/>
      <c r="B37" s="3"/>
      <c r="C37" s="3"/>
      <c r="D37" s="3"/>
      <c r="E37" s="3"/>
      <c r="F37" s="10" t="str">
        <f>KPI!$F$44</f>
        <v>%-нт скидки от поставщиков СиМ</v>
      </c>
      <c r="G37" s="3"/>
      <c r="H37" s="3"/>
      <c r="I37" s="3"/>
      <c r="J37" s="5" t="str">
        <f>IF($F37="","",INDEX(KPI!$I$11:$I$275,SUMIFS(KPI!$E$11:$E$275,KPI!$F$11:$F$275,$F37)))</f>
        <v>%</v>
      </c>
      <c r="K37" s="3"/>
      <c r="L37" s="3"/>
      <c r="M37" s="3"/>
      <c r="N37" s="3"/>
      <c r="O37" s="3"/>
      <c r="P37" s="3"/>
      <c r="Q37" s="12"/>
      <c r="R37" s="3"/>
      <c r="S37" s="52"/>
      <c r="T37" s="41">
        <f>IF(T33&gt;=условия!$Q$100,условия!$Q$102,0)</f>
        <v>0</v>
      </c>
      <c r="U37" s="41">
        <f>IF(U33&gt;=условия!$Q$100,условия!$Q$102,0)</f>
        <v>0</v>
      </c>
      <c r="V37" s="41">
        <f>IF(V33&gt;=условия!$Q$100,условия!$Q$102,0)</f>
        <v>0</v>
      </c>
      <c r="W37" s="41">
        <f>IF(W33&gt;=условия!$Q$100,условия!$Q$102,0)</f>
        <v>0</v>
      </c>
      <c r="X37" s="41">
        <f>IF(X33&gt;=условия!$Q$100,условия!$Q$102,0)</f>
        <v>0</v>
      </c>
      <c r="Y37" s="41">
        <f>IF(Y33&gt;=условия!$Q$100,условия!$Q$102,0)</f>
        <v>0</v>
      </c>
      <c r="Z37" s="41">
        <f>IF(Z33&gt;=условия!$Q$100,условия!$Q$102,0)</f>
        <v>0</v>
      </c>
      <c r="AA37" s="41">
        <f>IF(AA33&gt;=условия!$Q$100,условия!$Q$102,0)</f>
        <v>0</v>
      </c>
      <c r="AB37" s="41">
        <f>IF(AB33&gt;=условия!$Q$100,условия!$Q$102,0)</f>
        <v>0</v>
      </c>
      <c r="AC37" s="41">
        <f>IF(AC33&gt;=условия!$Q$100,условия!$Q$102,0)</f>
        <v>0</v>
      </c>
      <c r="AD37" s="41">
        <f>IF(AD33&gt;=условия!$Q$100,условия!$Q$102,0)</f>
        <v>0</v>
      </c>
      <c r="AE37" s="41">
        <f>IF(AE33&gt;=условия!$Q$100,условия!$Q$102,0)</f>
        <v>0</v>
      </c>
      <c r="AF37" s="41">
        <f>IF(AF33&gt;=условия!$Q$100,условия!$Q$102,0)</f>
        <v>0.1</v>
      </c>
      <c r="AG37" s="41">
        <f>IF(AG33&gt;=условия!$Q$100,условия!$Q$102,0)</f>
        <v>0</v>
      </c>
      <c r="AH37" s="41">
        <f>IF(AH33&gt;=условия!$Q$100,условия!$Q$102,0)</f>
        <v>0</v>
      </c>
      <c r="AI37" s="41">
        <f>IF(AI33&gt;=условия!$Q$100,условия!$Q$102,0)</f>
        <v>0</v>
      </c>
      <c r="AJ37" s="41">
        <f>IF(AJ33&gt;=условия!$Q$100,условия!$Q$102,0)</f>
        <v>0</v>
      </c>
      <c r="AK37" s="41">
        <f>IF(AK33&gt;=условия!$Q$100,условия!$Q$102,0)</f>
        <v>0</v>
      </c>
      <c r="AL37" s="41">
        <f>IF(AL33&gt;=условия!$Q$100,условия!$Q$102,0)</f>
        <v>0</v>
      </c>
      <c r="AM37" s="41">
        <f>IF(AM33&gt;=условия!$Q$100,условия!$Q$102,0)</f>
        <v>0</v>
      </c>
      <c r="AN37" s="41">
        <f>IF(AN33&gt;=условия!$Q$100,условия!$Q$102,0)</f>
        <v>0</v>
      </c>
      <c r="AO37" s="41">
        <f>IF(AO33&gt;=условия!$Q$100,условия!$Q$102,0)</f>
        <v>0</v>
      </c>
      <c r="AP37" s="41">
        <f>IF(AP33&gt;=условия!$Q$100,условия!$Q$102,0)</f>
        <v>0.1</v>
      </c>
      <c r="AQ37" s="41">
        <f>IF(AQ33&gt;=условия!$Q$100,условия!$Q$102,0)</f>
        <v>0</v>
      </c>
      <c r="AR37" s="41">
        <f>IF(AR33&gt;=условия!$Q$100,условия!$Q$102,0)</f>
        <v>0</v>
      </c>
      <c r="AS37" s="41">
        <f>IF(AS33&gt;=условия!$Q$100,условия!$Q$102,0)</f>
        <v>0</v>
      </c>
      <c r="AT37" s="41">
        <f>IF(AT33&gt;=условия!$Q$100,условия!$Q$102,0)</f>
        <v>0.1</v>
      </c>
      <c r="AU37" s="41">
        <f>IF(AU33&gt;=условия!$Q$100,условия!$Q$102,0)</f>
        <v>0</v>
      </c>
      <c r="AV37" s="41">
        <f>IF(AV33&gt;=условия!$Q$100,условия!$Q$102,0)</f>
        <v>0</v>
      </c>
      <c r="AW37" s="41">
        <f>IF(AW33&gt;=условия!$Q$100,условия!$Q$102,0)</f>
        <v>0</v>
      </c>
      <c r="AX37" s="41">
        <f>IF(AX33&gt;=условия!$Q$100,условия!$Q$102,0)</f>
        <v>0</v>
      </c>
      <c r="AY37" s="41">
        <f>IF(AY33&gt;=условия!$Q$100,условия!$Q$102,0)</f>
        <v>0.1</v>
      </c>
      <c r="AZ37" s="41">
        <f>IF(AZ33&gt;=условия!$Q$100,условия!$Q$102,0)</f>
        <v>0.1</v>
      </c>
      <c r="BA37" s="41">
        <f>IF(BA33&gt;=условия!$Q$100,условия!$Q$102,0)</f>
        <v>0</v>
      </c>
      <c r="BB37" s="41">
        <f>IF(BB33&gt;=условия!$Q$100,условия!$Q$102,0)</f>
        <v>0.1</v>
      </c>
      <c r="BC37" s="41">
        <f>IF(BC33&gt;=условия!$Q$100,условия!$Q$102,0)</f>
        <v>0</v>
      </c>
      <c r="BD37" s="41">
        <f>IF(BD33&gt;=условия!$Q$100,условия!$Q$102,0)</f>
        <v>0</v>
      </c>
      <c r="BE37" s="41">
        <f>IF(BE33&gt;=условия!$Q$100,условия!$Q$102,0)</f>
        <v>0</v>
      </c>
      <c r="BF37" s="41">
        <f>IF(BF33&gt;=условия!$Q$100,условия!$Q$102,0)</f>
        <v>0.1</v>
      </c>
      <c r="BG37" s="41">
        <f>IF(BG33&gt;=условия!$Q$100,условия!$Q$102,0)</f>
        <v>0</v>
      </c>
      <c r="BH37" s="41">
        <f>IF(BH33&gt;=условия!$Q$100,условия!$Q$102,0)</f>
        <v>0</v>
      </c>
      <c r="BI37" s="41">
        <f>IF(BI33&gt;=условия!$Q$100,условия!$Q$102,0)</f>
        <v>0.1</v>
      </c>
      <c r="BJ37" s="41">
        <f>IF(BJ33&gt;=условия!$Q$100,условия!$Q$102,0)</f>
        <v>0</v>
      </c>
      <c r="BK37" s="41">
        <f>IF(BK33&gt;=условия!$Q$100,условия!$Q$102,0)</f>
        <v>0.1</v>
      </c>
      <c r="BL37" s="41">
        <f>IF(BL33&gt;=условия!$Q$100,условия!$Q$102,0)</f>
        <v>0</v>
      </c>
      <c r="BM37" s="41">
        <f>IF(BM33&gt;=условия!$Q$100,условия!$Q$102,0)</f>
        <v>0.1</v>
      </c>
      <c r="BN37" s="41">
        <f>IF(BN33&gt;=условия!$Q$100,условия!$Q$102,0)</f>
        <v>0.1</v>
      </c>
      <c r="BO37" s="41">
        <f>IF(BO33&gt;=условия!$Q$100,условия!$Q$102,0)</f>
        <v>0</v>
      </c>
      <c r="BP37" s="41">
        <f>IF(BP33&gt;=условия!$Q$100,условия!$Q$102,0)</f>
        <v>0</v>
      </c>
      <c r="BQ37" s="41">
        <f>IF(BQ33&gt;=условия!$Q$100,условия!$Q$102,0)</f>
        <v>0.1</v>
      </c>
      <c r="BR37" s="41">
        <f>IF(BR33&gt;=условия!$Q$100,условия!$Q$102,0)</f>
        <v>0</v>
      </c>
      <c r="BS37" s="41">
        <f>IF(BS33&gt;=условия!$Q$100,условия!$Q$102,0)</f>
        <v>0.1</v>
      </c>
      <c r="BT37" s="41">
        <f>IF(BT33&gt;=условия!$Q$100,условия!$Q$102,0)</f>
        <v>0</v>
      </c>
      <c r="BU37" s="41">
        <f>IF(BU33&gt;=условия!$Q$100,условия!$Q$102,0)</f>
        <v>0.1</v>
      </c>
      <c r="BV37" s="41">
        <f>IF(BV33&gt;=условия!$Q$100,условия!$Q$102,0)</f>
        <v>0</v>
      </c>
      <c r="BW37" s="41">
        <f>IF(BW33&gt;=условия!$Q$100,условия!$Q$102,0)</f>
        <v>0.1</v>
      </c>
      <c r="BX37" s="41">
        <f>IF(BX33&gt;=условия!$Q$100,условия!$Q$102,0)</f>
        <v>0</v>
      </c>
      <c r="BY37" s="41">
        <f>IF(BY33&gt;=условия!$Q$100,условия!$Q$102,0)</f>
        <v>0.1</v>
      </c>
      <c r="BZ37" s="41">
        <f>IF(BZ33&gt;=условия!$Q$100,условия!$Q$102,0)</f>
        <v>0</v>
      </c>
      <c r="CA37" s="41">
        <f>IF(CA33&gt;=условия!$Q$100,условия!$Q$102,0)</f>
        <v>0</v>
      </c>
      <c r="CB37" s="41">
        <f>IF(CB33&gt;=условия!$Q$100,условия!$Q$102,0)</f>
        <v>0</v>
      </c>
      <c r="CC37" s="41">
        <f>IF(CC33&gt;=условия!$Q$100,условия!$Q$102,0)</f>
        <v>0.1</v>
      </c>
      <c r="CD37" s="41">
        <f>IF(CD33&gt;=условия!$Q$100,условия!$Q$102,0)</f>
        <v>0</v>
      </c>
      <c r="CE37" s="41">
        <f>IF(CE33&gt;=условия!$Q$100,условия!$Q$102,0)</f>
        <v>0</v>
      </c>
      <c r="CF37" s="41">
        <f>IF(CF33&gt;=условия!$Q$100,условия!$Q$102,0)</f>
        <v>0</v>
      </c>
      <c r="CG37" s="41">
        <f>IF(CG33&gt;=условия!$Q$100,условия!$Q$102,0)</f>
        <v>0</v>
      </c>
      <c r="CH37" s="41">
        <f>IF(CH33&gt;=условия!$Q$100,условия!$Q$102,0)</f>
        <v>0</v>
      </c>
      <c r="CI37" s="41">
        <f>IF(CI33&gt;=условия!$Q$100,условия!$Q$102,0)</f>
        <v>0.1</v>
      </c>
      <c r="CJ37" s="41">
        <f>IF(CJ33&gt;=условия!$Q$100,условия!$Q$102,0)</f>
        <v>0.1</v>
      </c>
      <c r="CK37" s="41">
        <f>IF(CK33&gt;=условия!$Q$100,условия!$Q$102,0)</f>
        <v>0.1</v>
      </c>
      <c r="CL37" s="41">
        <f>IF(CL33&gt;=условия!$Q$100,условия!$Q$102,0)</f>
        <v>0.1</v>
      </c>
      <c r="CM37" s="41">
        <f>IF(CM33&gt;=условия!$Q$100,условия!$Q$102,0)</f>
        <v>0</v>
      </c>
      <c r="CN37" s="41">
        <f>IF(CN33&gt;=условия!$Q$100,условия!$Q$102,0)</f>
        <v>0</v>
      </c>
      <c r="CO37" s="41">
        <f>IF(CO33&gt;=условия!$Q$100,условия!$Q$102,0)</f>
        <v>0.1</v>
      </c>
      <c r="CP37" s="41">
        <f>IF(CP33&gt;=условия!$Q$100,условия!$Q$102,0)</f>
        <v>0</v>
      </c>
      <c r="CQ37" s="41">
        <f>IF(CQ33&gt;=условия!$Q$100,условия!$Q$102,0)</f>
        <v>0.1</v>
      </c>
      <c r="CR37" s="41">
        <f>IF(CR33&gt;=условия!$Q$100,условия!$Q$102,0)</f>
        <v>0</v>
      </c>
      <c r="CS37" s="41">
        <f>IF(CS33&gt;=условия!$Q$100,условия!$Q$102,0)</f>
        <v>0</v>
      </c>
      <c r="CT37" s="41">
        <f>IF(CT33&gt;=условия!$Q$100,условия!$Q$102,0)</f>
        <v>0</v>
      </c>
      <c r="CU37" s="41">
        <f>IF(CU33&gt;=условия!$Q$100,условия!$Q$102,0)</f>
        <v>0.1</v>
      </c>
      <c r="CV37" s="41">
        <f>IF(CV33&gt;=условия!$Q$100,условия!$Q$102,0)</f>
        <v>0</v>
      </c>
      <c r="CW37" s="41">
        <f>IF(CW33&gt;=условия!$Q$100,условия!$Q$102,0)</f>
        <v>0.1</v>
      </c>
      <c r="CX37" s="41">
        <f>IF(CX33&gt;=условия!$Q$100,условия!$Q$102,0)</f>
        <v>0</v>
      </c>
      <c r="CY37" s="41">
        <f>IF(CY33&gt;=условия!$Q$100,условия!$Q$102,0)</f>
        <v>0</v>
      </c>
      <c r="CZ37" s="41">
        <f>IF(CZ33&gt;=условия!$Q$100,условия!$Q$102,0)</f>
        <v>0</v>
      </c>
      <c r="DA37" s="41">
        <f>IF(DA33&gt;=условия!$Q$100,условия!$Q$102,0)</f>
        <v>0.1</v>
      </c>
      <c r="DB37" s="41">
        <f>IF(DB33&gt;=условия!$Q$100,условия!$Q$102,0)</f>
        <v>0</v>
      </c>
      <c r="DC37" s="41">
        <f>IF(DC33&gt;=условия!$Q$100,условия!$Q$102,0)</f>
        <v>0.1</v>
      </c>
      <c r="DD37" s="41">
        <f>IF(DD33&gt;=условия!$Q$100,условия!$Q$102,0)</f>
        <v>0</v>
      </c>
      <c r="DE37" s="41">
        <f>IF(DE33&gt;=условия!$Q$100,условия!$Q$102,0)</f>
        <v>0</v>
      </c>
      <c r="DF37" s="41">
        <f>IF(DF33&gt;=условия!$Q$100,условия!$Q$102,0)</f>
        <v>0.1</v>
      </c>
      <c r="DG37" s="41">
        <f>IF(DG33&gt;=условия!$Q$100,условия!$Q$102,0)</f>
        <v>0.1</v>
      </c>
      <c r="DH37" s="41">
        <f>IF(DH33&gt;=условия!$Q$100,условия!$Q$102,0)</f>
        <v>0.1</v>
      </c>
      <c r="DI37" s="41">
        <f>IF(DI33&gt;=условия!$Q$100,условия!$Q$102,0)</f>
        <v>0.1</v>
      </c>
      <c r="DJ37" s="41">
        <f>IF(DJ33&gt;=условия!$Q$100,условия!$Q$102,0)</f>
        <v>0.1</v>
      </c>
      <c r="DK37" s="41">
        <f>IF(DK33&gt;=условия!$Q$100,условия!$Q$102,0)</f>
        <v>0</v>
      </c>
      <c r="DL37" s="41">
        <f>IF(DL33&gt;=условия!$Q$100,условия!$Q$102,0)</f>
        <v>0</v>
      </c>
      <c r="DM37" s="41">
        <f>IF(DM33&gt;=условия!$Q$100,условия!$Q$102,0)</f>
        <v>0.1</v>
      </c>
      <c r="DN37" s="41">
        <f>IF(DN33&gt;=условия!$Q$100,условия!$Q$102,0)</f>
        <v>0</v>
      </c>
      <c r="DO37" s="41">
        <f>IF(DO33&gt;=условия!$Q$100,условия!$Q$102,0)</f>
        <v>0.1</v>
      </c>
      <c r="DP37" s="41">
        <f>IF(DP33&gt;=условия!$Q$100,условия!$Q$102,0)</f>
        <v>0</v>
      </c>
      <c r="DQ37" s="41">
        <f>IF(DQ33&gt;=условия!$Q$100,условия!$Q$102,0)</f>
        <v>0</v>
      </c>
      <c r="DR37" s="41">
        <f>IF(DR33&gt;=условия!$Q$100,условия!$Q$102,0)</f>
        <v>0</v>
      </c>
      <c r="DS37" s="41">
        <f>IF(DS33&gt;=условия!$Q$100,условия!$Q$102,0)</f>
        <v>0.1</v>
      </c>
      <c r="DT37" s="41">
        <f>IF(DT33&gt;=условия!$Q$100,условия!$Q$102,0)</f>
        <v>0</v>
      </c>
      <c r="DU37" s="41">
        <f>IF(DU33&gt;=условия!$Q$100,условия!$Q$102,0)</f>
        <v>0.1</v>
      </c>
      <c r="DV37" s="41">
        <f>IF(DV33&gt;=условия!$Q$100,условия!$Q$102,0)</f>
        <v>0</v>
      </c>
      <c r="DW37" s="41">
        <f>IF(DW33&gt;=условия!$Q$100,условия!$Q$102,0)</f>
        <v>0.1</v>
      </c>
      <c r="DX37" s="41">
        <f>IF(DX33&gt;=условия!$Q$100,условия!$Q$102,0)</f>
        <v>0</v>
      </c>
      <c r="DY37" s="41">
        <f>IF(DY33&gt;=условия!$Q$100,условия!$Q$102,0)</f>
        <v>0.1</v>
      </c>
      <c r="DZ37" s="41">
        <f>IF(DZ33&gt;=условия!$Q$100,условия!$Q$102,0)</f>
        <v>0</v>
      </c>
      <c r="EA37" s="41">
        <f>IF(EA33&gt;=условия!$Q$100,условия!$Q$102,0)</f>
        <v>0.1</v>
      </c>
      <c r="EB37" s="41">
        <f>IF(EB33&gt;=условия!$Q$100,условия!$Q$102,0)</f>
        <v>0</v>
      </c>
      <c r="EC37" s="41">
        <f>IF(EC33&gt;=условия!$Q$100,условия!$Q$102,0)</f>
        <v>0</v>
      </c>
      <c r="ED37" s="41">
        <f>IF(ED33&gt;=условия!$Q$100,условия!$Q$102,0)</f>
        <v>0.1</v>
      </c>
      <c r="EE37" s="41">
        <f>IF(EE33&gt;=условия!$Q$100,условия!$Q$102,0)</f>
        <v>0.1</v>
      </c>
      <c r="EF37" s="41">
        <f>IF(EF33&gt;=условия!$Q$100,условия!$Q$102,0)</f>
        <v>0.1</v>
      </c>
      <c r="EG37" s="41">
        <f>IF(EG33&gt;=условия!$Q$100,условия!$Q$102,0)</f>
        <v>0.1</v>
      </c>
      <c r="EH37" s="41">
        <f>IF(EH33&gt;=условия!$Q$100,условия!$Q$102,0)</f>
        <v>0.1</v>
      </c>
      <c r="EI37" s="41">
        <f>IF(EI33&gt;=условия!$Q$100,условия!$Q$102,0)</f>
        <v>0</v>
      </c>
      <c r="EJ37" s="3"/>
      <c r="EK37" s="3"/>
    </row>
    <row r="38" spans="1:14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41" x14ac:dyDescent="0.25">
      <c r="A39" s="3"/>
      <c r="B39" s="3"/>
      <c r="C39" s="3"/>
      <c r="D39" s="3"/>
      <c r="E39" s="3"/>
      <c r="F39" s="10" t="str">
        <f>KPI!$F$45</f>
        <v>себестоимость (стоимость СиМ) единицы ГП</v>
      </c>
      <c r="G39" s="3"/>
      <c r="H39" s="3"/>
      <c r="I39" s="3"/>
      <c r="J39" s="5" t="str">
        <f>IF($F39="","",INDEX(KPI!$I$11:$I$275,SUMIFS(KPI!$E$11:$E$275,KPI!$F$11:$F$275,$F39)))</f>
        <v>руб.</v>
      </c>
      <c r="K39" s="3"/>
      <c r="L39" s="3"/>
      <c r="M39" s="3"/>
      <c r="N39" s="3"/>
      <c r="O39" s="3"/>
      <c r="P39" s="3"/>
      <c r="Q39" s="12"/>
      <c r="R39" s="3"/>
      <c r="S39" s="52"/>
      <c r="T39" s="33">
        <f>T35*(1-T37)</f>
        <v>101.2</v>
      </c>
      <c r="U39" s="33">
        <f t="shared" ref="U39:CF39" si="22">U35*(1-U37)</f>
        <v>101.8</v>
      </c>
      <c r="V39" s="33">
        <f t="shared" si="22"/>
        <v>103</v>
      </c>
      <c r="W39" s="33">
        <f t="shared" si="22"/>
        <v>102.64</v>
      </c>
      <c r="X39" s="33">
        <f t="shared" si="22"/>
        <v>102.4</v>
      </c>
      <c r="Y39" s="33">
        <f t="shared" si="22"/>
        <v>102.16000000000001</v>
      </c>
      <c r="Z39" s="33">
        <f t="shared" si="22"/>
        <v>102.76</v>
      </c>
      <c r="AA39" s="33">
        <f t="shared" si="22"/>
        <v>103.36</v>
      </c>
      <c r="AB39" s="33">
        <f t="shared" si="22"/>
        <v>104.56</v>
      </c>
      <c r="AC39" s="33">
        <f t="shared" si="22"/>
        <v>106.96000000000001</v>
      </c>
      <c r="AD39" s="33">
        <f t="shared" si="22"/>
        <v>109.36000000000001</v>
      </c>
      <c r="AE39" s="33">
        <f t="shared" si="22"/>
        <v>112.00000000000001</v>
      </c>
      <c r="AF39" s="33">
        <f>AF35*(1-AF37)</f>
        <v>102.00960000000001</v>
      </c>
      <c r="AG39" s="33">
        <f t="shared" si="22"/>
        <v>114.01600000000001</v>
      </c>
      <c r="AH39" s="33">
        <f t="shared" si="22"/>
        <v>115.36</v>
      </c>
      <c r="AI39" s="33">
        <f t="shared" si="22"/>
        <v>114.9568</v>
      </c>
      <c r="AJ39" s="33">
        <f t="shared" si="22"/>
        <v>114.688</v>
      </c>
      <c r="AK39" s="33">
        <f t="shared" si="22"/>
        <v>114.4192</v>
      </c>
      <c r="AL39" s="33">
        <f t="shared" si="22"/>
        <v>115.0912</v>
      </c>
      <c r="AM39" s="33">
        <f t="shared" si="22"/>
        <v>115.7632</v>
      </c>
      <c r="AN39" s="33">
        <f t="shared" si="22"/>
        <v>117.10719999999999</v>
      </c>
      <c r="AO39" s="33">
        <f t="shared" si="22"/>
        <v>119.79519999999999</v>
      </c>
      <c r="AP39" s="33">
        <f t="shared" si="22"/>
        <v>110.23488</v>
      </c>
      <c r="AQ39" s="33">
        <f t="shared" si="22"/>
        <v>125.44</v>
      </c>
      <c r="AR39" s="33">
        <f t="shared" si="22"/>
        <v>126.6944</v>
      </c>
      <c r="AS39" s="33">
        <f t="shared" si="22"/>
        <v>127.3216</v>
      </c>
      <c r="AT39" s="33">
        <f t="shared" si="22"/>
        <v>115.7184</v>
      </c>
      <c r="AU39" s="33">
        <f t="shared" si="22"/>
        <v>128.19968</v>
      </c>
      <c r="AV39" s="33">
        <f t="shared" si="22"/>
        <v>127.94880000000001</v>
      </c>
      <c r="AW39" s="33">
        <f t="shared" si="22"/>
        <v>127.69792000000001</v>
      </c>
      <c r="AX39" s="33">
        <f t="shared" si="22"/>
        <v>128.32512</v>
      </c>
      <c r="AY39" s="33">
        <f t="shared" si="22"/>
        <v>116.05708799999999</v>
      </c>
      <c r="AZ39" s="33">
        <f t="shared" si="22"/>
        <v>117.186048</v>
      </c>
      <c r="BA39" s="33">
        <f t="shared" si="22"/>
        <v>132.71552</v>
      </c>
      <c r="BB39" s="33">
        <f t="shared" si="22"/>
        <v>121.70188800000001</v>
      </c>
      <c r="BC39" s="33">
        <f t="shared" si="22"/>
        <v>137.98400000000001</v>
      </c>
      <c r="BD39" s="33">
        <f t="shared" si="22"/>
        <v>139.36384000000001</v>
      </c>
      <c r="BE39" s="33">
        <f t="shared" si="22"/>
        <v>140.05376000000001</v>
      </c>
      <c r="BF39" s="33">
        <f t="shared" si="22"/>
        <v>127.29024000000001</v>
      </c>
      <c r="BG39" s="33">
        <f t="shared" si="22"/>
        <v>141.01964800000002</v>
      </c>
      <c r="BH39" s="33">
        <f t="shared" si="22"/>
        <v>140.74368000000001</v>
      </c>
      <c r="BI39" s="33">
        <f t="shared" si="22"/>
        <v>126.42094080000001</v>
      </c>
      <c r="BJ39" s="33">
        <f t="shared" si="22"/>
        <v>141.15763200000001</v>
      </c>
      <c r="BK39" s="33">
        <f t="shared" si="22"/>
        <v>127.66279680000001</v>
      </c>
      <c r="BL39" s="33">
        <f t="shared" si="22"/>
        <v>143.22739200000001</v>
      </c>
      <c r="BM39" s="33">
        <f t="shared" si="22"/>
        <v>131.38836480000001</v>
      </c>
      <c r="BN39" s="33">
        <f t="shared" si="22"/>
        <v>133.87207680000003</v>
      </c>
      <c r="BO39" s="33">
        <f t="shared" si="22"/>
        <v>151.78240000000002</v>
      </c>
      <c r="BP39" s="33">
        <f t="shared" si="22"/>
        <v>153.30022400000001</v>
      </c>
      <c r="BQ39" s="33">
        <f t="shared" si="22"/>
        <v>138.65322240000003</v>
      </c>
      <c r="BR39" s="33">
        <f t="shared" si="22"/>
        <v>155.57696000000001</v>
      </c>
      <c r="BS39" s="33">
        <f t="shared" si="22"/>
        <v>139.60945152000002</v>
      </c>
      <c r="BT39" s="33">
        <f t="shared" si="22"/>
        <v>154.818048</v>
      </c>
      <c r="BU39" s="33">
        <f t="shared" si="22"/>
        <v>139.06303488</v>
      </c>
      <c r="BV39" s="33">
        <f t="shared" si="22"/>
        <v>155.27339520000001</v>
      </c>
      <c r="BW39" s="33">
        <f t="shared" si="22"/>
        <v>140.42907648000002</v>
      </c>
      <c r="BX39" s="33">
        <f t="shared" si="22"/>
        <v>157.55013120000001</v>
      </c>
      <c r="BY39" s="33">
        <f t="shared" si="22"/>
        <v>144.52720128000001</v>
      </c>
      <c r="BZ39" s="33">
        <f t="shared" si="22"/>
        <v>163.62142720000003</v>
      </c>
      <c r="CA39" s="33">
        <f t="shared" si="22"/>
        <v>166.96064000000004</v>
      </c>
      <c r="CB39" s="33">
        <f t="shared" si="22"/>
        <v>168.29632512000003</v>
      </c>
      <c r="CC39" s="33">
        <f t="shared" si="22"/>
        <v>152.06775091200004</v>
      </c>
      <c r="CD39" s="33">
        <f t="shared" si="22"/>
        <v>170.29985280000002</v>
      </c>
      <c r="CE39" s="33">
        <f t="shared" si="22"/>
        <v>169.89914726400002</v>
      </c>
      <c r="CF39" s="33">
        <f t="shared" si="22"/>
        <v>169.63201024000003</v>
      </c>
      <c r="CG39" s="33">
        <f t="shared" ref="CG39:EI39" si="23">CG35*(1-CG37)</f>
        <v>169.36487321600003</v>
      </c>
      <c r="CH39" s="33">
        <f t="shared" si="23"/>
        <v>170.03271577600003</v>
      </c>
      <c r="CI39" s="33">
        <f t="shared" si="23"/>
        <v>153.63050250240002</v>
      </c>
      <c r="CJ39" s="33">
        <f t="shared" si="23"/>
        <v>154.83261911040003</v>
      </c>
      <c r="CK39" s="33">
        <f t="shared" si="23"/>
        <v>157.23685232640003</v>
      </c>
      <c r="CL39" s="33">
        <f t="shared" si="23"/>
        <v>159.64108554239999</v>
      </c>
      <c r="CM39" s="33">
        <f t="shared" si="23"/>
        <v>180.31749120000001</v>
      </c>
      <c r="CN39" s="33">
        <f t="shared" si="23"/>
        <v>181.57971363839999</v>
      </c>
      <c r="CO39" s="33">
        <f t="shared" si="23"/>
        <v>163.98974237183998</v>
      </c>
      <c r="CP39" s="33">
        <f t="shared" si="23"/>
        <v>183.47304729599998</v>
      </c>
      <c r="CQ39" s="33">
        <f t="shared" si="23"/>
        <v>164.78494250803197</v>
      </c>
      <c r="CR39" s="33">
        <f t="shared" si="23"/>
        <v>182.84193607679995</v>
      </c>
      <c r="CS39" s="33">
        <f t="shared" si="23"/>
        <v>182.58949158911994</v>
      </c>
      <c r="CT39" s="33">
        <f t="shared" si="23"/>
        <v>183.22060280831994</v>
      </c>
      <c r="CU39" s="33">
        <f t="shared" si="23"/>
        <v>165.46654262476795</v>
      </c>
      <c r="CV39" s="33">
        <f t="shared" si="23"/>
        <v>185.11393646591992</v>
      </c>
      <c r="CW39" s="33">
        <f t="shared" si="23"/>
        <v>168.87454320844793</v>
      </c>
      <c r="CX39" s="33">
        <f t="shared" si="23"/>
        <v>190.16282621951993</v>
      </c>
      <c r="CY39" s="33">
        <f t="shared" si="23"/>
        <v>192.93971558399994</v>
      </c>
      <c r="CZ39" s="33">
        <f t="shared" si="23"/>
        <v>193.90441416191993</v>
      </c>
      <c r="DA39" s="33">
        <f t="shared" si="23"/>
        <v>174.94808710579193</v>
      </c>
      <c r="DB39" s="33">
        <f t="shared" si="23"/>
        <v>195.35146202879992</v>
      </c>
      <c r="DC39" s="33">
        <f t="shared" si="23"/>
        <v>175.55584720988153</v>
      </c>
      <c r="DD39" s="33">
        <f t="shared" si="23"/>
        <v>194.86911273983992</v>
      </c>
      <c r="DE39" s="33">
        <f t="shared" si="23"/>
        <v>194.67617302425592</v>
      </c>
      <c r="DF39" s="33">
        <f t="shared" si="23"/>
        <v>175.64267008189432</v>
      </c>
      <c r="DG39" s="33">
        <f t="shared" si="23"/>
        <v>176.07678444195832</v>
      </c>
      <c r="DH39" s="33">
        <f t="shared" si="23"/>
        <v>176.9450131620863</v>
      </c>
      <c r="DI39" s="33">
        <f t="shared" si="23"/>
        <v>178.68147060234233</v>
      </c>
      <c r="DJ39" s="33">
        <f t="shared" si="23"/>
        <v>180.41792804259833</v>
      </c>
      <c r="DK39" s="33">
        <f t="shared" si="23"/>
        <v>202.58670136319992</v>
      </c>
      <c r="DL39" s="33">
        <f t="shared" si="23"/>
        <v>203.39704816865273</v>
      </c>
      <c r="DM39" s="33">
        <f t="shared" si="23"/>
        <v>183.42199941424121</v>
      </c>
      <c r="DN39" s="33">
        <f t="shared" si="23"/>
        <v>204.61256837683194</v>
      </c>
      <c r="DO39" s="33">
        <f t="shared" si="23"/>
        <v>183.9325179016765</v>
      </c>
      <c r="DP39" s="33">
        <f t="shared" si="23"/>
        <v>204.20739497410554</v>
      </c>
      <c r="DQ39" s="33">
        <f t="shared" si="23"/>
        <v>204.04532561301497</v>
      </c>
      <c r="DR39" s="33">
        <f t="shared" si="23"/>
        <v>204.45049901574137</v>
      </c>
      <c r="DS39" s="33">
        <f t="shared" si="23"/>
        <v>184.370105176621</v>
      </c>
      <c r="DT39" s="33">
        <f t="shared" si="23"/>
        <v>205.66601922392059</v>
      </c>
      <c r="DU39" s="33">
        <f t="shared" si="23"/>
        <v>186.55804155134356</v>
      </c>
      <c r="DV39" s="33">
        <f t="shared" si="23"/>
        <v>208.90740644573177</v>
      </c>
      <c r="DW39" s="33">
        <f t="shared" si="23"/>
        <v>189.62115247595514</v>
      </c>
      <c r="DX39" s="33">
        <f t="shared" si="23"/>
        <v>211.32223992598111</v>
      </c>
      <c r="DY39" s="33">
        <f t="shared" si="23"/>
        <v>190.47444766209694</v>
      </c>
      <c r="DZ39" s="33">
        <f t="shared" si="23"/>
        <v>212.27034568836089</v>
      </c>
      <c r="EA39" s="33">
        <f t="shared" si="23"/>
        <v>190.87265208229644</v>
      </c>
      <c r="EB39" s="33">
        <f t="shared" si="23"/>
        <v>211.95431043423432</v>
      </c>
      <c r="EC39" s="33">
        <f t="shared" si="23"/>
        <v>211.82789633258369</v>
      </c>
      <c r="ED39" s="33">
        <f t="shared" si="23"/>
        <v>190.92953842803928</v>
      </c>
      <c r="EE39" s="33">
        <f t="shared" si="23"/>
        <v>191.21397015675322</v>
      </c>
      <c r="EF39" s="33">
        <f t="shared" si="23"/>
        <v>191.78283361418107</v>
      </c>
      <c r="EG39" s="33">
        <f t="shared" si="23"/>
        <v>192.92056052903681</v>
      </c>
      <c r="EH39" s="33">
        <f t="shared" si="23"/>
        <v>194.05828744389251</v>
      </c>
      <c r="EI39" s="33">
        <f t="shared" si="23"/>
        <v>217.0108745002598</v>
      </c>
      <c r="EJ39" s="3"/>
      <c r="EK39" s="3"/>
    </row>
    <row r="40" spans="1:14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</row>
    <row r="41" spans="1:141" x14ac:dyDescent="0.25">
      <c r="A41" s="3"/>
      <c r="B41" s="3"/>
      <c r="C41" s="3"/>
      <c r="D41" s="3"/>
      <c r="E41" s="3"/>
      <c r="F41" s="10" t="str">
        <f>KPI!$F$41</f>
        <v>бюджет закупок СиМ</v>
      </c>
      <c r="G41" s="3"/>
      <c r="H41" s="3"/>
      <c r="I41" s="3"/>
      <c r="J41" s="5" t="str">
        <f>IF($F41="","",INDEX(KPI!$I$11:$I$275,SUMIFS(KPI!$E$11:$E$275,KPI!$F$11:$F$275,$F41)))</f>
        <v>тыс.руб.</v>
      </c>
      <c r="K41" s="3"/>
      <c r="L41" s="3"/>
      <c r="M41" s="3"/>
      <c r="N41" s="3"/>
      <c r="O41" s="3"/>
      <c r="P41" s="3"/>
      <c r="Q41" s="12">
        <f>SUM(S41:EJ41)</f>
        <v>8720258.388111461</v>
      </c>
      <c r="R41" s="3"/>
      <c r="S41" s="3"/>
      <c r="T41" s="33">
        <f>T33*T39/1000</f>
        <v>0</v>
      </c>
      <c r="U41" s="33">
        <f t="shared" ref="U41:CF41" si="24">U33*U39/1000</f>
        <v>0</v>
      </c>
      <c r="V41" s="33">
        <f t="shared" si="24"/>
        <v>0</v>
      </c>
      <c r="W41" s="33">
        <f>W33*W39/1000</f>
        <v>0</v>
      </c>
      <c r="X41" s="33">
        <f>X33*X39/1000</f>
        <v>10559.560457856402</v>
      </c>
      <c r="Y41" s="33">
        <f t="shared" si="24"/>
        <v>0</v>
      </c>
      <c r="Z41" s="33">
        <f t="shared" si="24"/>
        <v>-3.7383870221674444E-13</v>
      </c>
      <c r="AA41" s="33">
        <f t="shared" si="24"/>
        <v>0</v>
      </c>
      <c r="AB41" s="33">
        <f t="shared" si="24"/>
        <v>0</v>
      </c>
      <c r="AC41" s="33">
        <f t="shared" si="24"/>
        <v>1142.279375650367</v>
      </c>
      <c r="AD41" s="33">
        <f t="shared" si="24"/>
        <v>5187.1462226846979</v>
      </c>
      <c r="AE41" s="33">
        <f t="shared" si="24"/>
        <v>0</v>
      </c>
      <c r="AF41" s="33">
        <f t="shared" si="24"/>
        <v>18764.182940104067</v>
      </c>
      <c r="AG41" s="33">
        <f t="shared" si="24"/>
        <v>0</v>
      </c>
      <c r="AH41" s="33">
        <f t="shared" si="24"/>
        <v>0</v>
      </c>
      <c r="AI41" s="33">
        <f t="shared" si="24"/>
        <v>0</v>
      </c>
      <c r="AJ41" s="33">
        <f t="shared" si="24"/>
        <v>787.8743375650281</v>
      </c>
      <c r="AK41" s="33">
        <f t="shared" si="24"/>
        <v>4752.0282106139448</v>
      </c>
      <c r="AL41" s="33">
        <f t="shared" si="24"/>
        <v>2021.772738730496</v>
      </c>
      <c r="AM41" s="33">
        <f t="shared" si="24"/>
        <v>10898.822196212266</v>
      </c>
      <c r="AN41" s="33">
        <f t="shared" si="24"/>
        <v>13944.945023600432</v>
      </c>
      <c r="AO41" s="33">
        <f t="shared" si="24"/>
        <v>79.506117127968878</v>
      </c>
      <c r="AP41" s="33">
        <f t="shared" si="24"/>
        <v>35923.127042397522</v>
      </c>
      <c r="AQ41" s="33">
        <f t="shared" si="24"/>
        <v>3.6507844924926757E-12</v>
      </c>
      <c r="AR41" s="33">
        <f t="shared" si="24"/>
        <v>16618.692973485926</v>
      </c>
      <c r="AS41" s="33">
        <f t="shared" si="24"/>
        <v>0</v>
      </c>
      <c r="AT41" s="33">
        <f t="shared" si="24"/>
        <v>32205.622824224782</v>
      </c>
      <c r="AU41" s="33">
        <f t="shared" si="24"/>
        <v>0</v>
      </c>
      <c r="AV41" s="33">
        <f t="shared" si="24"/>
        <v>0</v>
      </c>
      <c r="AW41" s="33">
        <f t="shared" si="24"/>
        <v>0</v>
      </c>
      <c r="AX41" s="33">
        <f t="shared" si="24"/>
        <v>10986.793505032247</v>
      </c>
      <c r="AY41" s="33">
        <f t="shared" si="24"/>
        <v>28480.26447479878</v>
      </c>
      <c r="AZ41" s="33">
        <f t="shared" si="24"/>
        <v>31093.397253807216</v>
      </c>
      <c r="BA41" s="33">
        <f t="shared" si="24"/>
        <v>11570.777062426763</v>
      </c>
      <c r="BB41" s="33">
        <f t="shared" si="24"/>
        <v>87300.297543019187</v>
      </c>
      <c r="BC41" s="33">
        <f t="shared" si="24"/>
        <v>0</v>
      </c>
      <c r="BD41" s="33">
        <f t="shared" si="24"/>
        <v>0</v>
      </c>
      <c r="BE41" s="33">
        <f t="shared" si="24"/>
        <v>0</v>
      </c>
      <c r="BF41" s="33">
        <f t="shared" si="24"/>
        <v>68787.106280257125</v>
      </c>
      <c r="BG41" s="33">
        <f t="shared" si="24"/>
        <v>0</v>
      </c>
      <c r="BH41" s="33">
        <f t="shared" si="24"/>
        <v>0</v>
      </c>
      <c r="BI41" s="33">
        <f t="shared" si="24"/>
        <v>21231.045051624602</v>
      </c>
      <c r="BJ41" s="33">
        <f t="shared" si="24"/>
        <v>0</v>
      </c>
      <c r="BK41" s="33">
        <f t="shared" si="24"/>
        <v>80674.939706923848</v>
      </c>
      <c r="BL41" s="33">
        <f t="shared" si="24"/>
        <v>14068.302394373024</v>
      </c>
      <c r="BM41" s="33">
        <f t="shared" si="24"/>
        <v>98441.081073224064</v>
      </c>
      <c r="BN41" s="33">
        <f t="shared" si="24"/>
        <v>67831.466653214724</v>
      </c>
      <c r="BO41" s="33">
        <f t="shared" si="24"/>
        <v>0</v>
      </c>
      <c r="BP41" s="33">
        <f t="shared" si="24"/>
        <v>6158.4622194366229</v>
      </c>
      <c r="BQ41" s="33">
        <f t="shared" si="24"/>
        <v>150510.02053136111</v>
      </c>
      <c r="BR41" s="33">
        <f t="shared" si="24"/>
        <v>0</v>
      </c>
      <c r="BS41" s="33">
        <f t="shared" si="24"/>
        <v>68750.041118111301</v>
      </c>
      <c r="BT41" s="33">
        <f t="shared" si="24"/>
        <v>0</v>
      </c>
      <c r="BU41" s="33">
        <f t="shared" si="24"/>
        <v>52770.043281411701</v>
      </c>
      <c r="BV41" s="33">
        <f t="shared" si="24"/>
        <v>0</v>
      </c>
      <c r="BW41" s="33">
        <f t="shared" si="24"/>
        <v>142087.90067766779</v>
      </c>
      <c r="BX41" s="33">
        <f t="shared" si="24"/>
        <v>0</v>
      </c>
      <c r="BY41" s="33">
        <f t="shared" si="24"/>
        <v>260734.91381917387</v>
      </c>
      <c r="BZ41" s="33">
        <f t="shared" si="24"/>
        <v>0</v>
      </c>
      <c r="CA41" s="33">
        <f t="shared" si="24"/>
        <v>0</v>
      </c>
      <c r="CB41" s="33">
        <f t="shared" si="24"/>
        <v>0</v>
      </c>
      <c r="CC41" s="33">
        <f t="shared" si="24"/>
        <v>397592.83182301593</v>
      </c>
      <c r="CD41" s="33">
        <f t="shared" si="24"/>
        <v>0</v>
      </c>
      <c r="CE41" s="33">
        <f t="shared" si="24"/>
        <v>0</v>
      </c>
      <c r="CF41" s="33">
        <f t="shared" si="24"/>
        <v>0</v>
      </c>
      <c r="CG41" s="33">
        <f t="shared" ref="CG41:EI41" si="25">CG33*CG39/1000</f>
        <v>0</v>
      </c>
      <c r="CH41" s="33">
        <f t="shared" si="25"/>
        <v>0</v>
      </c>
      <c r="CI41" s="33">
        <f t="shared" si="25"/>
        <v>158767.27128191356</v>
      </c>
      <c r="CJ41" s="33">
        <f t="shared" si="25"/>
        <v>108343.91589056169</v>
      </c>
      <c r="CK41" s="33">
        <f t="shared" si="25"/>
        <v>181969.73994427701</v>
      </c>
      <c r="CL41" s="33">
        <f t="shared" si="25"/>
        <v>275386.9334767657</v>
      </c>
      <c r="CM41" s="33">
        <f t="shared" si="25"/>
        <v>0</v>
      </c>
      <c r="CN41" s="33">
        <f t="shared" si="25"/>
        <v>0</v>
      </c>
      <c r="CO41" s="33">
        <f t="shared" si="25"/>
        <v>146361.19375406485</v>
      </c>
      <c r="CP41" s="33">
        <f t="shared" si="25"/>
        <v>0</v>
      </c>
      <c r="CQ41" s="33">
        <f t="shared" si="25"/>
        <v>258055.06131047691</v>
      </c>
      <c r="CR41" s="33">
        <f t="shared" si="25"/>
        <v>0</v>
      </c>
      <c r="CS41" s="33">
        <f t="shared" si="25"/>
        <v>0</v>
      </c>
      <c r="CT41" s="33">
        <f t="shared" si="25"/>
        <v>0</v>
      </c>
      <c r="CU41" s="33">
        <f t="shared" si="25"/>
        <v>234808.48763364053</v>
      </c>
      <c r="CV41" s="33">
        <f t="shared" si="25"/>
        <v>0</v>
      </c>
      <c r="CW41" s="33">
        <f t="shared" si="25"/>
        <v>509312.27071612125</v>
      </c>
      <c r="CX41" s="33">
        <f t="shared" si="25"/>
        <v>0</v>
      </c>
      <c r="CY41" s="33">
        <f t="shared" si="25"/>
        <v>0</v>
      </c>
      <c r="CZ41" s="33">
        <f t="shared" si="25"/>
        <v>0</v>
      </c>
      <c r="DA41" s="33">
        <f t="shared" si="25"/>
        <v>436473.31206705567</v>
      </c>
      <c r="DB41" s="33">
        <f t="shared" si="25"/>
        <v>0</v>
      </c>
      <c r="DC41" s="33">
        <f t="shared" si="25"/>
        <v>38990.297778511427</v>
      </c>
      <c r="DD41" s="33">
        <f t="shared" si="25"/>
        <v>0</v>
      </c>
      <c r="DE41" s="33">
        <f t="shared" si="25"/>
        <v>0</v>
      </c>
      <c r="DF41" s="33">
        <f t="shared" si="25"/>
        <v>80210.943544021735</v>
      </c>
      <c r="DG41" s="33">
        <f t="shared" si="25"/>
        <v>209803.13143879667</v>
      </c>
      <c r="DH41" s="33">
        <f t="shared" si="25"/>
        <v>177639.7343705197</v>
      </c>
      <c r="DI41" s="33">
        <f t="shared" si="25"/>
        <v>236671.07000215037</v>
      </c>
      <c r="DJ41" s="33">
        <f t="shared" si="25"/>
        <v>402766.72025706957</v>
      </c>
      <c r="DK41" s="33">
        <f t="shared" si="25"/>
        <v>0</v>
      </c>
      <c r="DL41" s="33">
        <f t="shared" si="25"/>
        <v>0</v>
      </c>
      <c r="DM41" s="33">
        <f t="shared" si="25"/>
        <v>224006.36515384787</v>
      </c>
      <c r="DN41" s="33">
        <f t="shared" si="25"/>
        <v>0</v>
      </c>
      <c r="DO41" s="33">
        <f t="shared" si="25"/>
        <v>307084.52535476425</v>
      </c>
      <c r="DP41" s="33">
        <f t="shared" si="25"/>
        <v>0</v>
      </c>
      <c r="DQ41" s="33">
        <f t="shared" si="25"/>
        <v>0</v>
      </c>
      <c r="DR41" s="33">
        <f t="shared" si="25"/>
        <v>0</v>
      </c>
      <c r="DS41" s="33">
        <f t="shared" si="25"/>
        <v>368530.0920173924</v>
      </c>
      <c r="DT41" s="33">
        <f t="shared" si="25"/>
        <v>0</v>
      </c>
      <c r="DU41" s="33">
        <f t="shared" si="25"/>
        <v>531357.52754794562</v>
      </c>
      <c r="DV41" s="33">
        <f t="shared" si="25"/>
        <v>0</v>
      </c>
      <c r="DW41" s="33">
        <f t="shared" si="25"/>
        <v>197871.90059244324</v>
      </c>
      <c r="DX41" s="33">
        <f t="shared" si="25"/>
        <v>0</v>
      </c>
      <c r="DY41" s="33">
        <f t="shared" si="25"/>
        <v>462996.68056134623</v>
      </c>
      <c r="DZ41" s="33">
        <f t="shared" si="25"/>
        <v>0</v>
      </c>
      <c r="EA41" s="33">
        <f t="shared" si="25"/>
        <v>77985.074426921376</v>
      </c>
      <c r="EB41" s="33">
        <f t="shared" si="25"/>
        <v>0</v>
      </c>
      <c r="EC41" s="33">
        <f t="shared" si="25"/>
        <v>0</v>
      </c>
      <c r="ED41" s="33">
        <f t="shared" si="25"/>
        <v>60084.303963156621</v>
      </c>
      <c r="EE41" s="33">
        <f t="shared" si="25"/>
        <v>231768.77317976009</v>
      </c>
      <c r="EF41" s="33">
        <f t="shared" si="25"/>
        <v>265301.44243765611</v>
      </c>
      <c r="EG41" s="33">
        <f t="shared" si="25"/>
        <v>167512.67721767639</v>
      </c>
      <c r="EH41" s="33">
        <f t="shared" si="25"/>
        <v>618243.6972634691</v>
      </c>
      <c r="EI41" s="33">
        <f t="shared" si="25"/>
        <v>0</v>
      </c>
      <c r="EJ41" s="3"/>
      <c r="EK41" s="3"/>
    </row>
    <row r="42" spans="1:14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</row>
    <row r="43" spans="1:141" x14ac:dyDescent="0.25">
      <c r="A43" s="3"/>
      <c r="B43" s="3"/>
      <c r="C43" s="3"/>
      <c r="D43" s="3"/>
      <c r="E43" s="3"/>
      <c r="F43" s="10" t="str">
        <f>KPI!$F$47</f>
        <v>стоимость продажи единицы ГП</v>
      </c>
      <c r="G43" s="3"/>
      <c r="H43" s="3"/>
      <c r="I43" s="3"/>
      <c r="J43" s="5" t="str">
        <f>IF($F43="","",INDEX(KPI!$I$11:$I$275,SUMIFS(KPI!$E$11:$E$275,KPI!$F$11:$F$275,$F43)))</f>
        <v>руб.</v>
      </c>
      <c r="K43" s="3"/>
      <c r="L43" s="3"/>
      <c r="M43" s="3"/>
      <c r="N43" s="3"/>
      <c r="O43" s="3"/>
      <c r="P43" s="3"/>
      <c r="Q43" s="12"/>
      <c r="R43" s="3"/>
      <c r="S43" s="3"/>
      <c r="T43" s="33">
        <f>T35*(1+SUMIFS(условия!$104:$104,условия!$8:$8,"&lt;="&amp;T$9,условия!$9:$9,"&gt;="&amp;T$9))</f>
        <v>116.38</v>
      </c>
      <c r="U43" s="33">
        <f>U35*(1+SUMIFS(условия!$104:$104,условия!$8:$8,"&lt;="&amp;U$9,условия!$9:$9,"&gt;="&amp;U$9))</f>
        <v>117.07</v>
      </c>
      <c r="V43" s="33">
        <f>V35*(1+SUMIFS(условия!$104:$104,условия!$8:$8,"&lt;="&amp;V$9,условия!$9:$9,"&gt;="&amp;V$9))</f>
        <v>118.44999999999999</v>
      </c>
      <c r="W43" s="33">
        <f>W35*(1+SUMIFS(условия!$104:$104,условия!$8:$8,"&lt;="&amp;W$9,условия!$9:$9,"&gt;="&amp;W$9))</f>
        <v>118.03599999999999</v>
      </c>
      <c r="X43" s="33">
        <f>X35*(1+SUMIFS(условия!$104:$104,условия!$8:$8,"&lt;="&amp;X$9,условия!$9:$9,"&gt;="&amp;X$9))</f>
        <v>117.75999999999999</v>
      </c>
      <c r="Y43" s="33">
        <f>Y35*(1+SUMIFS(условия!$104:$104,условия!$8:$8,"&lt;="&amp;Y$9,условия!$9:$9,"&gt;="&amp;Y$9))</f>
        <v>117.48400000000001</v>
      </c>
      <c r="Z43" s="33">
        <f>Z35*(1+SUMIFS(условия!$104:$104,условия!$8:$8,"&lt;="&amp;Z$9,условия!$9:$9,"&gt;="&amp;Z$9))</f>
        <v>118.17399999999999</v>
      </c>
      <c r="AA43" s="33">
        <f>AA35*(1+SUMIFS(условия!$104:$104,условия!$8:$8,"&lt;="&amp;AA$9,условия!$9:$9,"&gt;="&amp;AA$9))</f>
        <v>118.86399999999999</v>
      </c>
      <c r="AB43" s="33">
        <f>AB35*(1+SUMIFS(условия!$104:$104,условия!$8:$8,"&lt;="&amp;AB$9,условия!$9:$9,"&gt;="&amp;AB$9))</f>
        <v>120.244</v>
      </c>
      <c r="AC43" s="33">
        <f>AC35*(1+SUMIFS(условия!$104:$104,условия!$8:$8,"&lt;="&amp;AC$9,условия!$9:$9,"&gt;="&amp;AC$9))</f>
        <v>123.004</v>
      </c>
      <c r="AD43" s="33">
        <f>AD35*(1+SUMIFS(условия!$104:$104,условия!$8:$8,"&lt;="&amp;AD$9,условия!$9:$9,"&gt;="&amp;AD$9))</f>
        <v>125.76400000000001</v>
      </c>
      <c r="AE43" s="33">
        <f>AE35*(1+SUMIFS(условия!$104:$104,условия!$8:$8,"&lt;="&amp;AE$9,условия!$9:$9,"&gt;="&amp;AE$9))</f>
        <v>128.80000000000001</v>
      </c>
      <c r="AF43" s="33">
        <f>AF35*(1+SUMIFS(условия!$104:$104,условия!$8:$8,"&lt;="&amp;AF$9,условия!$9:$9,"&gt;="&amp;AF$9))</f>
        <v>133.74592000000001</v>
      </c>
      <c r="AG43" s="33">
        <f>AG35*(1+SUMIFS(условия!$104:$104,условия!$8:$8,"&lt;="&amp;AG$9,условия!$9:$9,"&gt;="&amp;AG$9))</f>
        <v>134.53888000000001</v>
      </c>
      <c r="AH43" s="33">
        <f>AH35*(1+SUMIFS(условия!$104:$104,условия!$8:$8,"&lt;="&amp;AH$9,условия!$9:$9,"&gt;="&amp;AH$9))</f>
        <v>136.12479999999999</v>
      </c>
      <c r="AI43" s="33">
        <f>AI35*(1+SUMIFS(условия!$104:$104,условия!$8:$8,"&lt;="&amp;AI$9,условия!$9:$9,"&gt;="&amp;AI$9))</f>
        <v>135.649024</v>
      </c>
      <c r="AJ43" s="33">
        <f>AJ35*(1+SUMIFS(условия!$104:$104,условия!$8:$8,"&lt;="&amp;AJ$9,условия!$9:$9,"&gt;="&amp;AJ$9))</f>
        <v>135.33184</v>
      </c>
      <c r="AK43" s="33">
        <f>AK35*(1+SUMIFS(условия!$104:$104,условия!$8:$8,"&lt;="&amp;AK$9,условия!$9:$9,"&gt;="&amp;AK$9))</f>
        <v>135.014656</v>
      </c>
      <c r="AL43" s="33">
        <f>AL35*(1+SUMIFS(условия!$104:$104,условия!$8:$8,"&lt;="&amp;AL$9,условия!$9:$9,"&gt;="&amp;AL$9))</f>
        <v>135.807616</v>
      </c>
      <c r="AM43" s="33">
        <f>AM35*(1+SUMIFS(условия!$104:$104,условия!$8:$8,"&lt;="&amp;AM$9,условия!$9:$9,"&gt;="&amp;AM$9))</f>
        <v>136.60057599999999</v>
      </c>
      <c r="AN43" s="33">
        <f>AN35*(1+SUMIFS(условия!$104:$104,условия!$8:$8,"&lt;="&amp;AN$9,условия!$9:$9,"&gt;="&amp;AN$9))</f>
        <v>138.18649599999998</v>
      </c>
      <c r="AO43" s="33">
        <f>AO35*(1+SUMIFS(условия!$104:$104,условия!$8:$8,"&lt;="&amp;AO$9,условия!$9:$9,"&gt;="&amp;AO$9))</f>
        <v>141.35833599999998</v>
      </c>
      <c r="AP43" s="33">
        <f>AP35*(1+SUMIFS(условия!$104:$104,условия!$8:$8,"&lt;="&amp;AP$9,условия!$9:$9,"&gt;="&amp;AP$9))</f>
        <v>144.53017599999998</v>
      </c>
      <c r="AQ43" s="33">
        <f>AQ35*(1+SUMIFS(условия!$104:$104,условия!$8:$8,"&lt;="&amp;AQ$9,условия!$9:$9,"&gt;="&amp;AQ$9))</f>
        <v>148.01919999999998</v>
      </c>
      <c r="AR43" s="33">
        <f>AR35*(1+SUMIFS(условия!$104:$104,условия!$8:$8,"&lt;="&amp;AR$9,условия!$9:$9,"&gt;="&amp;AR$9))</f>
        <v>152.03327999999999</v>
      </c>
      <c r="AS43" s="33">
        <f>AS35*(1+SUMIFS(условия!$104:$104,условия!$8:$8,"&lt;="&amp;AS$9,условия!$9:$9,"&gt;="&amp;AS$9))</f>
        <v>152.78592</v>
      </c>
      <c r="AT43" s="33">
        <f>AT35*(1+SUMIFS(условия!$104:$104,условия!$8:$8,"&lt;="&amp;AT$9,условия!$9:$9,"&gt;="&amp;AT$9))</f>
        <v>154.29119999999998</v>
      </c>
      <c r="AU43" s="33">
        <f>AU35*(1+SUMIFS(условия!$104:$104,условия!$8:$8,"&lt;="&amp;AU$9,условия!$9:$9,"&gt;="&amp;AU$9))</f>
        <v>153.83961600000001</v>
      </c>
      <c r="AV43" s="33">
        <f>AV35*(1+SUMIFS(условия!$104:$104,условия!$8:$8,"&lt;="&amp;AV$9,условия!$9:$9,"&gt;="&amp;AV$9))</f>
        <v>153.53855999999999</v>
      </c>
      <c r="AW43" s="33">
        <f>AW35*(1+SUMIFS(условия!$104:$104,условия!$8:$8,"&lt;="&amp;AW$9,условия!$9:$9,"&gt;="&amp;AW$9))</f>
        <v>153.237504</v>
      </c>
      <c r="AX43" s="33">
        <f>AX35*(1+SUMIFS(условия!$104:$104,условия!$8:$8,"&lt;="&amp;AX$9,условия!$9:$9,"&gt;="&amp;AX$9))</f>
        <v>153.99014399999999</v>
      </c>
      <c r="AY43" s="33">
        <f>AY35*(1+SUMIFS(условия!$104:$104,условия!$8:$8,"&lt;="&amp;AY$9,условия!$9:$9,"&gt;="&amp;AY$9))</f>
        <v>154.74278399999997</v>
      </c>
      <c r="AZ43" s="33">
        <f>AZ35*(1+SUMIFS(условия!$104:$104,условия!$8:$8,"&lt;="&amp;AZ$9,условия!$9:$9,"&gt;="&amp;AZ$9))</f>
        <v>156.24806399999997</v>
      </c>
      <c r="BA43" s="33">
        <f>BA35*(1+SUMIFS(условия!$104:$104,условия!$8:$8,"&lt;="&amp;BA$9,условия!$9:$9,"&gt;="&amp;BA$9))</f>
        <v>159.258624</v>
      </c>
      <c r="BB43" s="33">
        <f>BB35*(1+SUMIFS(условия!$104:$104,условия!$8:$8,"&lt;="&amp;BB$9,условия!$9:$9,"&gt;="&amp;BB$9))</f>
        <v>162.269184</v>
      </c>
      <c r="BC43" s="33">
        <f>BC35*(1+SUMIFS(условия!$104:$104,условия!$8:$8,"&lt;="&amp;BC$9,условия!$9:$9,"&gt;="&amp;BC$9))</f>
        <v>165.58080000000001</v>
      </c>
      <c r="BD43" s="33">
        <f>BD35*(1+SUMIFS(условия!$104:$104,условия!$8:$8,"&lt;="&amp;BD$9,условия!$9:$9,"&gt;="&amp;BD$9))</f>
        <v>170.02388480000002</v>
      </c>
      <c r="BE43" s="33">
        <f>BE35*(1+SUMIFS(условия!$104:$104,условия!$8:$8,"&lt;="&amp;BE$9,условия!$9:$9,"&gt;="&amp;BE$9))</f>
        <v>170.86558720000002</v>
      </c>
      <c r="BF43" s="33">
        <f>BF35*(1+SUMIFS(условия!$104:$104,условия!$8:$8,"&lt;="&amp;BF$9,условия!$9:$9,"&gt;="&amp;BF$9))</f>
        <v>172.548992</v>
      </c>
      <c r="BG43" s="33">
        <f>BG35*(1+SUMIFS(условия!$104:$104,условия!$8:$8,"&lt;="&amp;BG$9,условия!$9:$9,"&gt;="&amp;BG$9))</f>
        <v>172.04397056000002</v>
      </c>
      <c r="BH43" s="33">
        <f>BH35*(1+SUMIFS(условия!$104:$104,условия!$8:$8,"&lt;="&amp;BH$9,условия!$9:$9,"&gt;="&amp;BH$9))</f>
        <v>171.70728960000002</v>
      </c>
      <c r="BI43" s="33">
        <f>BI35*(1+SUMIFS(условия!$104:$104,условия!$8:$8,"&lt;="&amp;BI$9,условия!$9:$9,"&gt;="&amp;BI$9))</f>
        <v>171.37060864</v>
      </c>
      <c r="BJ43" s="33">
        <f>BJ35*(1+SUMIFS(условия!$104:$104,условия!$8:$8,"&lt;="&amp;BJ$9,условия!$9:$9,"&gt;="&amp;BJ$9))</f>
        <v>172.21231104</v>
      </c>
      <c r="BK43" s="33">
        <f>BK35*(1+SUMIFS(условия!$104:$104,условия!$8:$8,"&lt;="&amp;BK$9,условия!$9:$9,"&gt;="&amp;BK$9))</f>
        <v>173.05401344000001</v>
      </c>
      <c r="BL43" s="33">
        <f>BL35*(1+SUMIFS(условия!$104:$104,условия!$8:$8,"&lt;="&amp;BL$9,условия!$9:$9,"&gt;="&amp;BL$9))</f>
        <v>174.73741824000001</v>
      </c>
      <c r="BM43" s="33">
        <f>BM35*(1+SUMIFS(условия!$104:$104,условия!$8:$8,"&lt;="&amp;BM$9,условия!$9:$9,"&gt;="&amp;BM$9))</f>
        <v>178.10422784000002</v>
      </c>
      <c r="BN43" s="33">
        <f>BN35*(1+SUMIFS(условия!$104:$104,условия!$8:$8,"&lt;="&amp;BN$9,условия!$9:$9,"&gt;="&amp;BN$9))</f>
        <v>181.47103744</v>
      </c>
      <c r="BO43" s="33">
        <f>BO35*(1+SUMIFS(условия!$104:$104,условия!$8:$8,"&lt;="&amp;BO$9,условия!$9:$9,"&gt;="&amp;BO$9))</f>
        <v>185.17452800000004</v>
      </c>
      <c r="BP43" s="33">
        <f>BP35*(1+SUMIFS(условия!$104:$104,условия!$8:$8,"&lt;="&amp;BP$9,условия!$9:$9,"&gt;="&amp;BP$9))</f>
        <v>187.02627328000003</v>
      </c>
      <c r="BQ43" s="33">
        <f>BQ35*(1+SUMIFS(условия!$104:$104,условия!$8:$8,"&lt;="&amp;BQ$9,условия!$9:$9,"&gt;="&amp;BQ$9))</f>
        <v>187.95214592000002</v>
      </c>
      <c r="BR43" s="33">
        <f>BR35*(1+SUMIFS(условия!$104:$104,условия!$8:$8,"&lt;="&amp;BR$9,условия!$9:$9,"&gt;="&amp;BR$9))</f>
        <v>189.80389120000001</v>
      </c>
      <c r="BS43" s="33">
        <f>BS35*(1+SUMIFS(условия!$104:$104,условия!$8:$8,"&lt;="&amp;BS$9,условия!$9:$9,"&gt;="&amp;BS$9))</f>
        <v>189.248367616</v>
      </c>
      <c r="BT43" s="33">
        <f>BT35*(1+SUMIFS(условия!$104:$104,условия!$8:$8,"&lt;="&amp;BT$9,условия!$9:$9,"&gt;="&amp;BT$9))</f>
        <v>188.87801856000002</v>
      </c>
      <c r="BU43" s="33">
        <f>BU35*(1+SUMIFS(условия!$104:$104,условия!$8:$8,"&lt;="&amp;BU$9,условия!$9:$9,"&gt;="&amp;BU$9))</f>
        <v>188.50766950400001</v>
      </c>
      <c r="BV43" s="33">
        <f>BV35*(1+SUMIFS(условия!$104:$104,условия!$8:$8,"&lt;="&amp;BV$9,условия!$9:$9,"&gt;="&amp;BV$9))</f>
        <v>189.433542144</v>
      </c>
      <c r="BW43" s="33">
        <f>BW35*(1+SUMIFS(условия!$104:$104,условия!$8:$8,"&lt;="&amp;BW$9,условия!$9:$9,"&gt;="&amp;BW$9))</f>
        <v>190.35941478400002</v>
      </c>
      <c r="BX43" s="33">
        <f>BX35*(1+SUMIFS(условия!$104:$104,условия!$8:$8,"&lt;="&amp;BX$9,условия!$9:$9,"&gt;="&amp;BX$9))</f>
        <v>192.21116006400001</v>
      </c>
      <c r="BY43" s="33">
        <f>BY35*(1+SUMIFS(условия!$104:$104,условия!$8:$8,"&lt;="&amp;BY$9,условия!$9:$9,"&gt;="&amp;BY$9))</f>
        <v>195.91465062400002</v>
      </c>
      <c r="BZ43" s="33">
        <f>BZ35*(1+SUMIFS(условия!$104:$104,условия!$8:$8,"&lt;="&amp;BZ$9,условия!$9:$9,"&gt;="&amp;BZ$9))</f>
        <v>199.61814118400002</v>
      </c>
      <c r="CA43" s="33">
        <f>CA35*(1+SUMIFS(условия!$104:$104,условия!$8:$8,"&lt;="&amp;CA$9,условия!$9:$9,"&gt;="&amp;CA$9))</f>
        <v>203.69198080000004</v>
      </c>
      <c r="CB43" s="33">
        <f>CB35*(1+SUMIFS(условия!$104:$104,условия!$8:$8,"&lt;="&amp;CB$9,условия!$9:$9,"&gt;="&amp;CB$9))</f>
        <v>210.37040640000004</v>
      </c>
      <c r="CC43" s="33">
        <f>CC35*(1+SUMIFS(условия!$104:$104,условия!$8:$8,"&lt;="&amp;CC$9,условия!$9:$9,"&gt;="&amp;CC$9))</f>
        <v>211.20520960000005</v>
      </c>
      <c r="CD43" s="33">
        <f>CD35*(1+SUMIFS(условия!$104:$104,условия!$8:$8,"&lt;="&amp;CD$9,условия!$9:$9,"&gt;="&amp;CD$9))</f>
        <v>212.87481600000004</v>
      </c>
      <c r="CE43" s="33">
        <f>CE35*(1+SUMIFS(условия!$104:$104,условия!$8:$8,"&lt;="&amp;CE$9,условия!$9:$9,"&gt;="&amp;CE$9))</f>
        <v>212.37393408000003</v>
      </c>
      <c r="CF43" s="33">
        <f>CF35*(1+SUMIFS(условия!$104:$104,условия!$8:$8,"&lt;="&amp;CF$9,условия!$9:$9,"&gt;="&amp;CF$9))</f>
        <v>212.04001280000003</v>
      </c>
      <c r="CG43" s="33">
        <f>CG35*(1+SUMIFS(условия!$104:$104,условия!$8:$8,"&lt;="&amp;CG$9,условия!$9:$9,"&gt;="&amp;CG$9))</f>
        <v>211.70609152000003</v>
      </c>
      <c r="CH43" s="33">
        <f>CH35*(1+SUMIFS(условия!$104:$104,условия!$8:$8,"&lt;="&amp;CH$9,условия!$9:$9,"&gt;="&amp;CH$9))</f>
        <v>212.54089472000004</v>
      </c>
      <c r="CI43" s="33">
        <f>CI35*(1+SUMIFS(условия!$104:$104,условия!$8:$8,"&lt;="&amp;CI$9,условия!$9:$9,"&gt;="&amp;CI$9))</f>
        <v>213.37569792000005</v>
      </c>
      <c r="CJ43" s="33">
        <f>CJ35*(1+SUMIFS(условия!$104:$104,условия!$8:$8,"&lt;="&amp;CJ$9,условия!$9:$9,"&gt;="&amp;CJ$9))</f>
        <v>215.04530432000001</v>
      </c>
      <c r="CK43" s="33">
        <f>CK35*(1+SUMIFS(условия!$104:$104,условия!$8:$8,"&lt;="&amp;CK$9,условия!$9:$9,"&gt;="&amp;CK$9))</f>
        <v>218.38451712</v>
      </c>
      <c r="CL43" s="33">
        <f>CL35*(1+SUMIFS(условия!$104:$104,условия!$8:$8,"&lt;="&amp;CL$9,условия!$9:$9,"&gt;="&amp;CL$9))</f>
        <v>221.72372991999998</v>
      </c>
      <c r="CM43" s="33">
        <f>CM35*(1+SUMIFS(условия!$104:$104,условия!$8:$8,"&lt;="&amp;CM$9,условия!$9:$9,"&gt;="&amp;CM$9))</f>
        <v>225.39686399999999</v>
      </c>
      <c r="CN43" s="33">
        <f>CN35*(1+SUMIFS(условия!$104:$104,условия!$8:$8,"&lt;="&amp;CN$9,условия!$9:$9,"&gt;="&amp;CN$9))</f>
        <v>226.97464204799999</v>
      </c>
      <c r="CO43" s="33">
        <f>CO35*(1+SUMIFS(условия!$104:$104,условия!$8:$8,"&lt;="&amp;CO$9,условия!$9:$9,"&gt;="&amp;CO$9))</f>
        <v>227.76353107199998</v>
      </c>
      <c r="CP43" s="33">
        <f>CP35*(1+SUMIFS(условия!$104:$104,условия!$8:$8,"&lt;="&amp;CP$9,условия!$9:$9,"&gt;="&amp;CP$9))</f>
        <v>229.34130911999998</v>
      </c>
      <c r="CQ43" s="33">
        <f>CQ35*(1+SUMIFS(условия!$104:$104,условия!$8:$8,"&lt;="&amp;CQ$9,условия!$9:$9,"&gt;="&amp;CQ$9))</f>
        <v>228.86797570559995</v>
      </c>
      <c r="CR43" s="33">
        <f>CR35*(1+SUMIFS(условия!$104:$104,условия!$8:$8,"&lt;="&amp;CR$9,условия!$9:$9,"&gt;="&amp;CR$9))</f>
        <v>228.55242009599993</v>
      </c>
      <c r="CS43" s="33">
        <f>CS35*(1+SUMIFS(условия!$104:$104,условия!$8:$8,"&lt;="&amp;CS$9,условия!$9:$9,"&gt;="&amp;CS$9))</f>
        <v>228.23686448639992</v>
      </c>
      <c r="CT43" s="33">
        <f>CT35*(1+SUMIFS(условия!$104:$104,условия!$8:$8,"&lt;="&amp;CT$9,условия!$9:$9,"&gt;="&amp;CT$9))</f>
        <v>229.02575351039991</v>
      </c>
      <c r="CU43" s="33">
        <f>CU35*(1+SUMIFS(условия!$104:$104,условия!$8:$8,"&lt;="&amp;CU$9,условия!$9:$9,"&gt;="&amp;CU$9))</f>
        <v>229.81464253439992</v>
      </c>
      <c r="CV43" s="33">
        <f>CV35*(1+SUMIFS(условия!$104:$104,условия!$8:$8,"&lt;="&amp;CV$9,условия!$9:$9,"&gt;="&amp;CV$9))</f>
        <v>231.39242058239989</v>
      </c>
      <c r="CW43" s="33">
        <f>CW35*(1+SUMIFS(условия!$104:$104,условия!$8:$8,"&lt;="&amp;CW$9,условия!$9:$9,"&gt;="&amp;CW$9))</f>
        <v>234.54797667839989</v>
      </c>
      <c r="CX43" s="33">
        <f>CX35*(1+SUMIFS(условия!$104:$104,условия!$8:$8,"&lt;="&amp;CX$9,условия!$9:$9,"&gt;="&amp;CX$9))</f>
        <v>237.70353277439992</v>
      </c>
      <c r="CY43" s="33">
        <f>CY35*(1+SUMIFS(условия!$104:$104,условия!$8:$8,"&lt;="&amp;CY$9,условия!$9:$9,"&gt;="&amp;CY$9))</f>
        <v>241.17464447999993</v>
      </c>
      <c r="CZ43" s="33">
        <f>CZ35*(1+SUMIFS(условия!$104:$104,условия!$8:$8,"&lt;="&amp;CZ$9,условия!$9:$9,"&gt;="&amp;CZ$9))</f>
        <v>242.38051770239991</v>
      </c>
      <c r="DA43" s="33">
        <f>DA35*(1+SUMIFS(условия!$104:$104,условия!$8:$8,"&lt;="&amp;DA$9,условия!$9:$9,"&gt;="&amp;DA$9))</f>
        <v>242.98345431359991</v>
      </c>
      <c r="DB43" s="33">
        <f>DB35*(1+SUMIFS(условия!$104:$104,условия!$8:$8,"&lt;="&amp;DB$9,условия!$9:$9,"&gt;="&amp;DB$9))</f>
        <v>244.18932753599989</v>
      </c>
      <c r="DC43" s="33">
        <f>DC35*(1+SUMIFS(условия!$104:$104,условия!$8:$8,"&lt;="&amp;DC$9,условия!$9:$9,"&gt;="&amp;DC$9))</f>
        <v>243.8275655692799</v>
      </c>
      <c r="DD43" s="33">
        <f>DD35*(1+SUMIFS(условия!$104:$104,условия!$8:$8,"&lt;="&amp;DD$9,условия!$9:$9,"&gt;="&amp;DD$9))</f>
        <v>243.5863909247999</v>
      </c>
      <c r="DE43" s="33">
        <f>DE35*(1+SUMIFS(условия!$104:$104,условия!$8:$8,"&lt;="&amp;DE$9,условия!$9:$9,"&gt;="&amp;DE$9))</f>
        <v>243.3452162803199</v>
      </c>
      <c r="DF43" s="33">
        <f>DF35*(1+SUMIFS(условия!$104:$104,условия!$8:$8,"&lt;="&amp;DF$9,условия!$9:$9,"&gt;="&amp;DF$9))</f>
        <v>243.9481528915199</v>
      </c>
      <c r="DG43" s="33">
        <f>DG35*(1+SUMIFS(условия!$104:$104,условия!$8:$8,"&lt;="&amp;DG$9,условия!$9:$9,"&gt;="&amp;DG$9))</f>
        <v>244.55108950271989</v>
      </c>
      <c r="DH43" s="33">
        <f>DH35*(1+SUMIFS(условия!$104:$104,условия!$8:$8,"&lt;="&amp;DH$9,условия!$9:$9,"&gt;="&amp;DH$9))</f>
        <v>245.75696272511988</v>
      </c>
      <c r="DI43" s="33">
        <f>DI35*(1+SUMIFS(условия!$104:$104,условия!$8:$8,"&lt;="&amp;DI$9,условия!$9:$9,"&gt;="&amp;DI$9))</f>
        <v>248.16870916991988</v>
      </c>
      <c r="DJ43" s="33">
        <f>DJ35*(1+SUMIFS(условия!$104:$104,условия!$8:$8,"&lt;="&amp;DJ$9,условия!$9:$9,"&gt;="&amp;DJ$9))</f>
        <v>250.58045561471988</v>
      </c>
      <c r="DK43" s="33">
        <f>DK35*(1+SUMIFS(условия!$104:$104,условия!$8:$8,"&lt;="&amp;DK$9,условия!$9:$9,"&gt;="&amp;DK$9))</f>
        <v>253.23337670399991</v>
      </c>
      <c r="DL43" s="33">
        <f>DL35*(1+SUMIFS(условия!$104:$104,условия!$8:$8,"&lt;="&amp;DL$9,условия!$9:$9,"&gt;="&amp;DL$9))</f>
        <v>254.24631021081592</v>
      </c>
      <c r="DM43" s="33">
        <f>DM35*(1+SUMIFS(условия!$104:$104,условия!$8:$8,"&lt;="&amp;DM$9,условия!$9:$9,"&gt;="&amp;DM$9))</f>
        <v>254.75277696422393</v>
      </c>
      <c r="DN43" s="33">
        <f>DN35*(1+SUMIFS(условия!$104:$104,условия!$8:$8,"&lt;="&amp;DN$9,условия!$9:$9,"&gt;="&amp;DN$9))</f>
        <v>255.76571047103994</v>
      </c>
      <c r="DO43" s="33">
        <f>DO35*(1+SUMIFS(условия!$104:$104,условия!$8:$8,"&lt;="&amp;DO$9,условия!$9:$9,"&gt;="&amp;DO$9))</f>
        <v>255.46183041899513</v>
      </c>
      <c r="DP43" s="33">
        <f>DP35*(1+SUMIFS(условия!$104:$104,условия!$8:$8,"&lt;="&amp;DP$9,условия!$9:$9,"&gt;="&amp;DP$9))</f>
        <v>255.25924371763193</v>
      </c>
      <c r="DQ43" s="33">
        <f>DQ35*(1+SUMIFS(условия!$104:$104,условия!$8:$8,"&lt;="&amp;DQ$9,условия!$9:$9,"&gt;="&amp;DQ$9))</f>
        <v>255.0566570162687</v>
      </c>
      <c r="DR43" s="33">
        <f>DR35*(1+SUMIFS(условия!$104:$104,условия!$8:$8,"&lt;="&amp;DR$9,условия!$9:$9,"&gt;="&amp;DR$9))</f>
        <v>255.56312376967671</v>
      </c>
      <c r="DS43" s="33">
        <f>DS35*(1+SUMIFS(условия!$104:$104,условия!$8:$8,"&lt;="&amp;DS$9,условия!$9:$9,"&gt;="&amp;DS$9))</f>
        <v>256.06959052308474</v>
      </c>
      <c r="DT43" s="33">
        <f>DT35*(1+SUMIFS(условия!$104:$104,условия!$8:$8,"&lt;="&amp;DT$9,условия!$9:$9,"&gt;="&amp;DT$9))</f>
        <v>257.08252402990075</v>
      </c>
      <c r="DU43" s="33">
        <f>DU35*(1+SUMIFS(условия!$104:$104,условия!$8:$8,"&lt;="&amp;DU$9,условия!$9:$9,"&gt;="&amp;DU$9))</f>
        <v>259.10839104353272</v>
      </c>
      <c r="DV43" s="33">
        <f>DV35*(1+SUMIFS(условия!$104:$104,условия!$8:$8,"&lt;="&amp;DV$9,условия!$9:$9,"&gt;="&amp;DV$9))</f>
        <v>261.13425805716469</v>
      </c>
      <c r="DW43" s="33">
        <f>DW35*(1+SUMIFS(условия!$104:$104,условия!$8:$8,"&lt;="&amp;DW$9,условия!$9:$9,"&gt;="&amp;DW$9))</f>
        <v>263.36271177215991</v>
      </c>
      <c r="DX43" s="33">
        <f>DX35*(1+SUMIFS(условия!$104:$104,условия!$8:$8,"&lt;="&amp;DX$9,условия!$9:$9,"&gt;="&amp;DX$9))</f>
        <v>264.15279990747638</v>
      </c>
      <c r="DY43" s="33">
        <f>DY35*(1+SUMIFS(условия!$104:$104,условия!$8:$8,"&lt;="&amp;DY$9,условия!$9:$9,"&gt;="&amp;DY$9))</f>
        <v>264.54784397513464</v>
      </c>
      <c r="DZ43" s="33">
        <f>DZ35*(1+SUMIFS(условия!$104:$104,условия!$8:$8,"&lt;="&amp;DZ$9,условия!$9:$9,"&gt;="&amp;DZ$9))</f>
        <v>265.33793211045111</v>
      </c>
      <c r="EA43" s="33">
        <f>EA35*(1+SUMIFS(условия!$104:$104,условия!$8:$8,"&lt;="&amp;EA$9,условия!$9:$9,"&gt;="&amp;EA$9))</f>
        <v>265.10090566985616</v>
      </c>
      <c r="EB43" s="33">
        <f>EB35*(1+SUMIFS(условия!$104:$104,условия!$8:$8,"&lt;="&amp;EB$9,условия!$9:$9,"&gt;="&amp;EB$9))</f>
        <v>264.9428880427929</v>
      </c>
      <c r="EC43" s="33">
        <f>EC35*(1+SUMIFS(условия!$104:$104,условия!$8:$8,"&lt;="&amp;EC$9,условия!$9:$9,"&gt;="&amp;EC$9))</f>
        <v>264.78487041572964</v>
      </c>
      <c r="ED43" s="33">
        <f>ED35*(1+SUMIFS(условия!$104:$104,условия!$8:$8,"&lt;="&amp;ED$9,условия!$9:$9,"&gt;="&amp;ED$9))</f>
        <v>265.17991448338785</v>
      </c>
      <c r="EE43" s="33">
        <f>EE35*(1+SUMIFS(условия!$104:$104,условия!$8:$8,"&lt;="&amp;EE$9,условия!$9:$9,"&gt;="&amp;EE$9))</f>
        <v>265.57495855104611</v>
      </c>
      <c r="EF43" s="33">
        <f>EF35*(1+SUMIFS(условия!$104:$104,условия!$8:$8,"&lt;="&amp;EF$9,условия!$9:$9,"&gt;="&amp;EF$9))</f>
        <v>266.36504668636258</v>
      </c>
      <c r="EG43" s="33">
        <f>EG35*(1+SUMIFS(условия!$104:$104,условия!$8:$8,"&lt;="&amp;EG$9,условия!$9:$9,"&gt;="&amp;EG$9))</f>
        <v>267.94522295699556</v>
      </c>
      <c r="EH43" s="33">
        <f>EH35*(1+SUMIFS(условия!$104:$104,условия!$8:$8,"&lt;="&amp;EH$9,условия!$9:$9,"&gt;="&amp;EH$9))</f>
        <v>269.5253992276285</v>
      </c>
      <c r="EI43" s="33">
        <f>EI35*(1+SUMIFS(условия!$104:$104,условия!$8:$8,"&lt;="&amp;EI$9,условия!$9:$9,"&gt;="&amp;EI$9))</f>
        <v>271.26359312532475</v>
      </c>
      <c r="EJ43" s="3"/>
      <c r="EK43" s="3"/>
    </row>
    <row r="44" spans="1:14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</row>
    <row r="45" spans="1:141" x14ac:dyDescent="0.25">
      <c r="A45" s="3"/>
      <c r="B45" s="3"/>
      <c r="C45" s="3"/>
      <c r="D45" s="3"/>
      <c r="E45" s="3"/>
      <c r="F45" s="10" t="str">
        <f>KPI!$F$48</f>
        <v>бюджет продаж ГП</v>
      </c>
      <c r="G45" s="3"/>
      <c r="H45" s="3"/>
      <c r="I45" s="3"/>
      <c r="J45" s="5" t="str">
        <f>IF($F45="","",INDEX(KPI!$I$11:$I$275,SUMIFS(KPI!$E$11:$E$275,KPI!$F$11:$F$275,$F45)))</f>
        <v>тыс.руб.</v>
      </c>
      <c r="K45" s="3"/>
      <c r="L45" s="3"/>
      <c r="M45" s="3"/>
      <c r="N45" s="3"/>
      <c r="O45" s="3"/>
      <c r="P45" s="3"/>
      <c r="Q45" s="12">
        <f>SUM(S45:EJ45)</f>
        <v>11576595.612093175</v>
      </c>
      <c r="R45" s="3"/>
      <c r="S45" s="3"/>
      <c r="T45" s="33">
        <f>T21*T43/1000</f>
        <v>0</v>
      </c>
      <c r="U45" s="33">
        <f>U21*U43/1000</f>
        <v>0</v>
      </c>
      <c r="V45" s="33">
        <f t="shared" ref="V45:CF45" si="26">V21*V43/1000</f>
        <v>0</v>
      </c>
      <c r="W45" s="33">
        <f t="shared" si="26"/>
        <v>0</v>
      </c>
      <c r="X45" s="33">
        <f t="shared" si="26"/>
        <v>1059.8399999999999</v>
      </c>
      <c r="Y45" s="33">
        <f t="shared" si="26"/>
        <v>881.13000000000011</v>
      </c>
      <c r="Z45" s="33">
        <f t="shared" si="26"/>
        <v>886.30499999999995</v>
      </c>
      <c r="AA45" s="33">
        <f t="shared" si="26"/>
        <v>1069.7760000000001</v>
      </c>
      <c r="AB45" s="33">
        <f t="shared" si="26"/>
        <v>1623.2940000000001</v>
      </c>
      <c r="AC45" s="33">
        <f t="shared" si="26"/>
        <v>2214.0720000000001</v>
      </c>
      <c r="AD45" s="33">
        <f t="shared" si="26"/>
        <v>2829.69</v>
      </c>
      <c r="AE45" s="33">
        <f t="shared" si="26"/>
        <v>2511.6</v>
      </c>
      <c r="AF45" s="33">
        <f t="shared" si="26"/>
        <v>4333.367808</v>
      </c>
      <c r="AG45" s="33">
        <f t="shared" si="26"/>
        <v>5085.5696639999996</v>
      </c>
      <c r="AH45" s="33">
        <f t="shared" si="26"/>
        <v>5880.5913599999994</v>
      </c>
      <c r="AI45" s="33">
        <f t="shared" si="26"/>
        <v>5860.0378368000002</v>
      </c>
      <c r="AJ45" s="33">
        <f t="shared" si="26"/>
        <v>4384.7516160000005</v>
      </c>
      <c r="AK45" s="33">
        <f t="shared" si="26"/>
        <v>3645.3957120000005</v>
      </c>
      <c r="AL45" s="33">
        <f t="shared" si="26"/>
        <v>3666.8056319999996</v>
      </c>
      <c r="AM45" s="33">
        <f t="shared" si="26"/>
        <v>4425.8586624</v>
      </c>
      <c r="AN45" s="33">
        <f t="shared" si="26"/>
        <v>6715.8637055999989</v>
      </c>
      <c r="AO45" s="33">
        <f t="shared" si="26"/>
        <v>9160.0201727999993</v>
      </c>
      <c r="AP45" s="33">
        <f t="shared" si="26"/>
        <v>11706.944255999999</v>
      </c>
      <c r="AQ45" s="33">
        <f t="shared" si="26"/>
        <v>10390.947839999997</v>
      </c>
      <c r="AR45" s="33">
        <f t="shared" si="26"/>
        <v>12770.79552</v>
      </c>
      <c r="AS45" s="33">
        <f t="shared" si="26"/>
        <v>14973.020160000002</v>
      </c>
      <c r="AT45" s="33">
        <f t="shared" si="26"/>
        <v>17280.614399999999</v>
      </c>
      <c r="AU45" s="33">
        <f t="shared" si="26"/>
        <v>17230.036992000001</v>
      </c>
      <c r="AV45" s="33">
        <f t="shared" si="26"/>
        <v>12897.239039999999</v>
      </c>
      <c r="AW45" s="33">
        <f t="shared" si="26"/>
        <v>10726.62528</v>
      </c>
      <c r="AX45" s="33">
        <f t="shared" si="26"/>
        <v>10779.310079999997</v>
      </c>
      <c r="AY45" s="33">
        <f t="shared" si="26"/>
        <v>12998.393855999997</v>
      </c>
      <c r="AZ45" s="33">
        <f t="shared" si="26"/>
        <v>19687.256063999994</v>
      </c>
      <c r="BA45" s="33">
        <f t="shared" si="26"/>
        <v>26755.448831999998</v>
      </c>
      <c r="BB45" s="33">
        <f t="shared" si="26"/>
        <v>34076.528640000004</v>
      </c>
      <c r="BC45" s="33">
        <f t="shared" si="26"/>
        <v>30135.705600000001</v>
      </c>
      <c r="BD45" s="33">
        <f t="shared" si="26"/>
        <v>26778.761856000005</v>
      </c>
      <c r="BE45" s="33">
        <f t="shared" si="26"/>
        <v>31396.551648000011</v>
      </c>
      <c r="BF45" s="33">
        <f t="shared" si="26"/>
        <v>36235.288320000007</v>
      </c>
      <c r="BG45" s="33">
        <f t="shared" si="26"/>
        <v>36129.233817600012</v>
      </c>
      <c r="BH45" s="33">
        <f t="shared" si="26"/>
        <v>27043.898112000006</v>
      </c>
      <c r="BI45" s="33">
        <f t="shared" si="26"/>
        <v>22492.392384000002</v>
      </c>
      <c r="BJ45" s="33">
        <f t="shared" si="26"/>
        <v>22602.865824000004</v>
      </c>
      <c r="BK45" s="33">
        <f t="shared" si="26"/>
        <v>27256.007116800007</v>
      </c>
      <c r="BL45" s="33">
        <f t="shared" si="26"/>
        <v>41281.715059200011</v>
      </c>
      <c r="BM45" s="33">
        <f t="shared" si="26"/>
        <v>56102.831769600016</v>
      </c>
      <c r="BN45" s="33">
        <f t="shared" si="26"/>
        <v>71454.220992000017</v>
      </c>
      <c r="BO45" s="33">
        <f t="shared" si="26"/>
        <v>63190.80768000002</v>
      </c>
      <c r="BP45" s="33">
        <f t="shared" si="26"/>
        <v>53863.566704640005</v>
      </c>
      <c r="BQ45" s="33">
        <f t="shared" si="26"/>
        <v>63151.921029120022</v>
      </c>
      <c r="BR45" s="33">
        <f t="shared" si="26"/>
        <v>72884.694220799996</v>
      </c>
      <c r="BS45" s="33">
        <f t="shared" si="26"/>
        <v>72671.373164543998</v>
      </c>
      <c r="BT45" s="33">
        <f t="shared" si="26"/>
        <v>54396.869345280007</v>
      </c>
      <c r="BU45" s="33">
        <f t="shared" si="26"/>
        <v>45241.840680959998</v>
      </c>
      <c r="BV45" s="33">
        <f t="shared" si="26"/>
        <v>45464.050114559999</v>
      </c>
      <c r="BW45" s="33">
        <f t="shared" si="26"/>
        <v>54823.511457792003</v>
      </c>
      <c r="BX45" s="33">
        <f t="shared" si="26"/>
        <v>83035.221147648001</v>
      </c>
      <c r="BY45" s="33">
        <f t="shared" si="26"/>
        <v>112846.83875942402</v>
      </c>
      <c r="BZ45" s="33">
        <f t="shared" si="26"/>
        <v>143725.06165248001</v>
      </c>
      <c r="CA45" s="33">
        <f t="shared" si="26"/>
        <v>127103.79601920003</v>
      </c>
      <c r="CB45" s="33">
        <f t="shared" si="26"/>
        <v>77248.013230080003</v>
      </c>
      <c r="CC45" s="33">
        <f t="shared" si="26"/>
        <v>90480.31179264003</v>
      </c>
      <c r="CD45" s="33">
        <f t="shared" si="26"/>
        <v>104223.50991360001</v>
      </c>
      <c r="CE45" s="33">
        <f t="shared" si="26"/>
        <v>103978.27812556802</v>
      </c>
      <c r="CF45" s="33">
        <f t="shared" si="26"/>
        <v>77861.092700160007</v>
      </c>
      <c r="CG45" s="33">
        <f t="shared" ref="CG45:EI45" si="27">CG21*CG43/1000</f>
        <v>64782.06400512001</v>
      </c>
      <c r="CH45" s="33">
        <f t="shared" si="27"/>
        <v>65037.513784320014</v>
      </c>
      <c r="CI45" s="33">
        <f t="shared" si="27"/>
        <v>78351.556276224015</v>
      </c>
      <c r="CJ45" s="33">
        <f t="shared" si="27"/>
        <v>118446.95361945601</v>
      </c>
      <c r="CK45" s="33">
        <f t="shared" si="27"/>
        <v>160381.58937292799</v>
      </c>
      <c r="CL45" s="33">
        <f t="shared" si="27"/>
        <v>203542.38406655996</v>
      </c>
      <c r="CM45" s="33">
        <f t="shared" si="27"/>
        <v>179325.74499840001</v>
      </c>
      <c r="CN45" s="33">
        <f t="shared" si="27"/>
        <v>102955.69763297281</v>
      </c>
      <c r="CO45" s="33">
        <f t="shared" si="27"/>
        <v>120532.46064330242</v>
      </c>
      <c r="CP45" s="33">
        <f t="shared" si="27"/>
        <v>138705.62375577603</v>
      </c>
      <c r="CQ45" s="33">
        <f t="shared" si="27"/>
        <v>138419.35170674688</v>
      </c>
      <c r="CR45" s="33">
        <f t="shared" si="27"/>
        <v>103671.37775554559</v>
      </c>
      <c r="CS45" s="33">
        <f t="shared" si="27"/>
        <v>86273.534775859182</v>
      </c>
      <c r="CT45" s="33">
        <f t="shared" si="27"/>
        <v>86571.734826931177</v>
      </c>
      <c r="CU45" s="33">
        <f t="shared" si="27"/>
        <v>104243.92185360382</v>
      </c>
      <c r="CV45" s="33">
        <f t="shared" si="27"/>
        <v>157439.40296426491</v>
      </c>
      <c r="CW45" s="33">
        <f t="shared" si="27"/>
        <v>212781.92444264441</v>
      </c>
      <c r="CX45" s="33">
        <f t="shared" si="27"/>
        <v>269555.80616616952</v>
      </c>
      <c r="CY45" s="33">
        <f t="shared" si="27"/>
        <v>237026.44059494397</v>
      </c>
      <c r="CZ45" s="33">
        <f t="shared" si="27"/>
        <v>122159.78092200955</v>
      </c>
      <c r="DA45" s="33">
        <f t="shared" si="27"/>
        <v>142874.27113639674</v>
      </c>
      <c r="DB45" s="33">
        <f t="shared" si="27"/>
        <v>164095.22810419192</v>
      </c>
      <c r="DC45" s="33">
        <f t="shared" si="27"/>
        <v>163852.12406255607</v>
      </c>
      <c r="DD45" s="33">
        <f t="shared" si="27"/>
        <v>122767.54102609915</v>
      </c>
      <c r="DE45" s="33">
        <f t="shared" si="27"/>
        <v>102204.99083773435</v>
      </c>
      <c r="DF45" s="33">
        <f t="shared" si="27"/>
        <v>102458.22421443836</v>
      </c>
      <c r="DG45" s="33">
        <f t="shared" si="27"/>
        <v>123253.74910937082</v>
      </c>
      <c r="DH45" s="33">
        <f t="shared" si="27"/>
        <v>185792.26382019065</v>
      </c>
      <c r="DI45" s="33">
        <f t="shared" si="27"/>
        <v>250154.05884327923</v>
      </c>
      <c r="DJ45" s="33">
        <f t="shared" si="27"/>
        <v>315731.37407454703</v>
      </c>
      <c r="DK45" s="33">
        <f t="shared" si="27"/>
        <v>276530.84736076789</v>
      </c>
      <c r="DL45" s="33">
        <f t="shared" si="27"/>
        <v>137293.0075138406</v>
      </c>
      <c r="DM45" s="33">
        <f t="shared" si="27"/>
        <v>160494.24948746109</v>
      </c>
      <c r="DN45" s="33">
        <f t="shared" si="27"/>
        <v>184151.31153914874</v>
      </c>
      <c r="DO45" s="33">
        <f t="shared" si="27"/>
        <v>183932.5179016765</v>
      </c>
      <c r="DP45" s="33">
        <f t="shared" si="27"/>
        <v>137839.99160752122</v>
      </c>
      <c r="DQ45" s="33">
        <f t="shared" si="27"/>
        <v>114775.49565732092</v>
      </c>
      <c r="DR45" s="33">
        <f t="shared" si="27"/>
        <v>115003.40569635453</v>
      </c>
      <c r="DS45" s="33">
        <f t="shared" si="27"/>
        <v>138277.57888246575</v>
      </c>
      <c r="DT45" s="33">
        <f t="shared" si="27"/>
        <v>208236.84446421961</v>
      </c>
      <c r="DU45" s="33">
        <f t="shared" si="27"/>
        <v>279837.06232701533</v>
      </c>
      <c r="DV45" s="33">
        <f t="shared" si="27"/>
        <v>352531.24837717233</v>
      </c>
      <c r="DW45" s="33">
        <f t="shared" si="27"/>
        <v>308134.37277342705</v>
      </c>
      <c r="DX45" s="33">
        <f t="shared" si="27"/>
        <v>142642.51195003724</v>
      </c>
      <c r="DY45" s="33">
        <f t="shared" si="27"/>
        <v>166665.14170433485</v>
      </c>
      <c r="DZ45" s="33">
        <f t="shared" si="27"/>
        <v>191043.31111952482</v>
      </c>
      <c r="EA45" s="33">
        <f t="shared" si="27"/>
        <v>190872.65208229644</v>
      </c>
      <c r="EB45" s="33">
        <f t="shared" si="27"/>
        <v>143069.15954310817</v>
      </c>
      <c r="EC45" s="33">
        <f t="shared" si="27"/>
        <v>119153.19168707835</v>
      </c>
      <c r="ED45" s="33">
        <f t="shared" si="27"/>
        <v>119330.96151752453</v>
      </c>
      <c r="EE45" s="33">
        <f t="shared" si="27"/>
        <v>143410.47761756487</v>
      </c>
      <c r="EF45" s="33">
        <f t="shared" si="27"/>
        <v>215755.68781595369</v>
      </c>
      <c r="EG45" s="33">
        <f t="shared" si="27"/>
        <v>289380.84079355519</v>
      </c>
      <c r="EH45" s="33">
        <f t="shared" si="27"/>
        <v>363859.28895729844</v>
      </c>
      <c r="EI45" s="33">
        <f t="shared" si="27"/>
        <v>317378.40395662992</v>
      </c>
      <c r="EJ45" s="3"/>
      <c r="EK45" s="3"/>
    </row>
    <row r="46" spans="1:14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</row>
    <row r="47" spans="1:141" x14ac:dyDescent="0.25">
      <c r="A47" s="3"/>
      <c r="B47" s="3"/>
      <c r="C47" s="3"/>
      <c r="D47" s="3"/>
      <c r="E47" s="3"/>
      <c r="F47" s="10" t="str">
        <f>KPI!$F$216</f>
        <v>себестоимость одной проданной единицы ГП</v>
      </c>
      <c r="G47" s="3"/>
      <c r="H47" s="3"/>
      <c r="I47" s="3"/>
      <c r="J47" s="5" t="str">
        <f>IF($F47="","",INDEX(KPI!$I$11:$I$275,SUMIFS(KPI!$E$11:$E$275,KPI!$F$11:$F$275,$F47)))</f>
        <v>руб.</v>
      </c>
      <c r="K47" s="3"/>
      <c r="L47" s="3"/>
      <c r="M47" s="3"/>
      <c r="N47" s="3"/>
      <c r="O47" s="3"/>
      <c r="P47" s="3"/>
      <c r="Q47" s="12">
        <f>SUM(S47:EJ47)</f>
        <v>17085.12539703917</v>
      </c>
      <c r="R47" s="3"/>
      <c r="S47" s="3"/>
      <c r="T47" s="33">
        <f t="shared" ref="T47" si="28">IF(S23+T25=0,0,(S47*S23+T27*T25)/(S23+T25))</f>
        <v>0</v>
      </c>
      <c r="U47" s="33">
        <f t="shared" ref="U47:CF47" si="29">IF(T23+U25=0,0,(T47*T23+U27*U25)/(T23+U25))</f>
        <v>0</v>
      </c>
      <c r="V47" s="33">
        <f t="shared" si="29"/>
        <v>0</v>
      </c>
      <c r="W47" s="33">
        <f t="shared" si="29"/>
        <v>0</v>
      </c>
      <c r="X47" s="33">
        <f t="shared" si="29"/>
        <v>102.40000000000002</v>
      </c>
      <c r="Y47" s="33">
        <f t="shared" si="29"/>
        <v>102.40000000000002</v>
      </c>
      <c r="Z47" s="33">
        <f t="shared" si="29"/>
        <v>102.40000000000003</v>
      </c>
      <c r="AA47" s="33">
        <f t="shared" si="29"/>
        <v>102.40000000000002</v>
      </c>
      <c r="AB47" s="33">
        <f t="shared" si="29"/>
        <v>102.40000000000002</v>
      </c>
      <c r="AC47" s="33">
        <f t="shared" si="29"/>
        <v>102.98054869815455</v>
      </c>
      <c r="AD47" s="33">
        <f t="shared" si="29"/>
        <v>105.27437296946688</v>
      </c>
      <c r="AE47" s="33">
        <f t="shared" si="29"/>
        <v>105.74562703220883</v>
      </c>
      <c r="AF47" s="33">
        <f t="shared" si="29"/>
        <v>103.40082742936652</v>
      </c>
      <c r="AG47" s="33">
        <f t="shared" si="29"/>
        <v>103.26716688406303</v>
      </c>
      <c r="AH47" s="33">
        <f t="shared" si="29"/>
        <v>103.04948102661413</v>
      </c>
      <c r="AI47" s="33">
        <f t="shared" si="29"/>
        <v>103.01340739463814</v>
      </c>
      <c r="AJ47" s="33">
        <f t="shared" si="29"/>
        <v>103.62106895104641</v>
      </c>
      <c r="AK47" s="33">
        <f t="shared" si="29"/>
        <v>106.75806432802152</v>
      </c>
      <c r="AL47" s="33">
        <f t="shared" si="29"/>
        <v>109.31186773633091</v>
      </c>
      <c r="AM47" s="33">
        <f t="shared" si="29"/>
        <v>112.59247784828027</v>
      </c>
      <c r="AN47" s="33">
        <f t="shared" si="29"/>
        <v>114.92089741604515</v>
      </c>
      <c r="AO47" s="33">
        <f t="shared" si="29"/>
        <v>115.53797347969243</v>
      </c>
      <c r="AP47" s="33">
        <f t="shared" si="29"/>
        <v>112.77329230521383</v>
      </c>
      <c r="AQ47" s="33">
        <f t="shared" si="29"/>
        <v>112.61567960682845</v>
      </c>
      <c r="AR47" s="33">
        <f t="shared" si="29"/>
        <v>115.6418443384526</v>
      </c>
      <c r="AS47" s="33">
        <f t="shared" si="29"/>
        <v>115.86263290059853</v>
      </c>
      <c r="AT47" s="33">
        <f t="shared" si="29"/>
        <v>115.91675244062702</v>
      </c>
      <c r="AU47" s="33">
        <f t="shared" si="29"/>
        <v>115.9273893907435</v>
      </c>
      <c r="AV47" s="33">
        <f t="shared" si="29"/>
        <v>115.93483615984647</v>
      </c>
      <c r="AW47" s="33">
        <f t="shared" si="29"/>
        <v>115.94058763322529</v>
      </c>
      <c r="AX47" s="33">
        <f t="shared" si="29"/>
        <v>118.94544191656489</v>
      </c>
      <c r="AY47" s="33">
        <f t="shared" si="29"/>
        <v>118.27140210875478</v>
      </c>
      <c r="AZ47" s="33">
        <f t="shared" si="29"/>
        <v>117.77947094488859</v>
      </c>
      <c r="BA47" s="33">
        <f t="shared" si="29"/>
        <v>119.42506603507385</v>
      </c>
      <c r="BB47" s="33">
        <f t="shared" si="29"/>
        <v>120.72456490900841</v>
      </c>
      <c r="BC47" s="33">
        <f t="shared" si="29"/>
        <v>120.82034065965536</v>
      </c>
      <c r="BD47" s="33">
        <f t="shared" si="29"/>
        <v>121.30012818115155</v>
      </c>
      <c r="BE47" s="33">
        <f t="shared" si="29"/>
        <v>121.38520047533481</v>
      </c>
      <c r="BF47" s="33">
        <f t="shared" si="29"/>
        <v>123.9755813808178</v>
      </c>
      <c r="BG47" s="33">
        <f t="shared" si="29"/>
        <v>124.74261331087591</v>
      </c>
      <c r="BH47" s="33">
        <f t="shared" si="29"/>
        <v>125.03633501646677</v>
      </c>
      <c r="BI47" s="33">
        <f t="shared" si="29"/>
        <v>125.63493985870777</v>
      </c>
      <c r="BJ47" s="33">
        <f t="shared" si="29"/>
        <v>125.78286903519364</v>
      </c>
      <c r="BK47" s="33">
        <f t="shared" si="29"/>
        <v>126.90808867226956</v>
      </c>
      <c r="BL47" s="33">
        <f t="shared" si="29"/>
        <v>128.7267973273907</v>
      </c>
      <c r="BM47" s="33">
        <f t="shared" si="29"/>
        <v>130.02758258324798</v>
      </c>
      <c r="BN47" s="33">
        <f t="shared" si="29"/>
        <v>131.33617251736919</v>
      </c>
      <c r="BO47" s="33">
        <f t="shared" si="29"/>
        <v>131.49671725681728</v>
      </c>
      <c r="BP47" s="33">
        <f t="shared" si="29"/>
        <v>132.77645988794788</v>
      </c>
      <c r="BQ47" s="33">
        <f t="shared" si="29"/>
        <v>135.80751017042286</v>
      </c>
      <c r="BR47" s="33">
        <f t="shared" si="29"/>
        <v>136.66079262780428</v>
      </c>
      <c r="BS47" s="33">
        <f t="shared" si="29"/>
        <v>137.8218287326772</v>
      </c>
      <c r="BT47" s="33">
        <f t="shared" si="29"/>
        <v>137.85536334553964</v>
      </c>
      <c r="BU47" s="33">
        <f t="shared" si="29"/>
        <v>138.55139595522994</v>
      </c>
      <c r="BV47" s="33">
        <f t="shared" si="29"/>
        <v>138.56229180549573</v>
      </c>
      <c r="BW47" s="33">
        <f t="shared" si="29"/>
        <v>139.6697304962197</v>
      </c>
      <c r="BX47" s="33">
        <f t="shared" si="29"/>
        <v>139.75205918876404</v>
      </c>
      <c r="BY47" s="33">
        <f t="shared" si="29"/>
        <v>142.32974767704846</v>
      </c>
      <c r="BZ47" s="33">
        <f t="shared" si="29"/>
        <v>142.92434625795011</v>
      </c>
      <c r="CA47" s="33">
        <f t="shared" si="29"/>
        <v>143.11262127190457</v>
      </c>
      <c r="CB47" s="33">
        <f t="shared" si="29"/>
        <v>143.19753464007741</v>
      </c>
      <c r="CC47" s="33">
        <f t="shared" si="29"/>
        <v>149.74112812900208</v>
      </c>
      <c r="CD47" s="33">
        <f t="shared" si="29"/>
        <v>150.0681678622735</v>
      </c>
      <c r="CE47" s="33">
        <f t="shared" si="29"/>
        <v>151.09358634375835</v>
      </c>
      <c r="CF47" s="33">
        <f t="shared" si="29"/>
        <v>151.09358634375835</v>
      </c>
      <c r="CG47" s="33">
        <f t="shared" ref="CG47:EI47" si="30">IF(CF23+CG25=0,0,(CF47*CF23+CG27*CG25)/(CF23+CG25))</f>
        <v>151.2561194250483</v>
      </c>
      <c r="CH47" s="33">
        <f t="shared" si="30"/>
        <v>151.30203717075341</v>
      </c>
      <c r="CI47" s="33">
        <f t="shared" si="30"/>
        <v>152.48250643365608</v>
      </c>
      <c r="CJ47" s="33">
        <f t="shared" si="30"/>
        <v>153.30352272634133</v>
      </c>
      <c r="CK47" s="33">
        <f t="shared" si="30"/>
        <v>154.75613232802257</v>
      </c>
      <c r="CL47" s="33">
        <f t="shared" si="30"/>
        <v>156.81619427446452</v>
      </c>
      <c r="CM47" s="33">
        <f t="shared" si="30"/>
        <v>157.1221956182554</v>
      </c>
      <c r="CN47" s="33">
        <f t="shared" si="30"/>
        <v>157.53863662366498</v>
      </c>
      <c r="CO47" s="33">
        <f t="shared" si="30"/>
        <v>159.74413962937555</v>
      </c>
      <c r="CP47" s="33">
        <f t="shared" si="30"/>
        <v>160.06834482065295</v>
      </c>
      <c r="CQ47" s="33">
        <f t="shared" si="30"/>
        <v>162.38661791875955</v>
      </c>
      <c r="CR47" s="33">
        <f t="shared" si="30"/>
        <v>162.38661791875955</v>
      </c>
      <c r="CS47" s="33">
        <f t="shared" si="30"/>
        <v>163.10020117168276</v>
      </c>
      <c r="CT47" s="33">
        <f t="shared" si="30"/>
        <v>163.1469856963846</v>
      </c>
      <c r="CU47" s="33">
        <f t="shared" si="30"/>
        <v>164.43319859131037</v>
      </c>
      <c r="CV47" s="33">
        <f t="shared" si="30"/>
        <v>164.58137696192972</v>
      </c>
      <c r="CW47" s="33">
        <f t="shared" si="30"/>
        <v>166.97903048165699</v>
      </c>
      <c r="CX47" s="33">
        <f t="shared" si="30"/>
        <v>167.64196546508398</v>
      </c>
      <c r="CY47" s="33">
        <f t="shared" si="30"/>
        <v>167.81107091094319</v>
      </c>
      <c r="CZ47" s="33">
        <f t="shared" si="30"/>
        <v>167.81107091094319</v>
      </c>
      <c r="DA47" s="33">
        <f t="shared" si="30"/>
        <v>173.18130462833426</v>
      </c>
      <c r="DB47" s="33">
        <f t="shared" si="30"/>
        <v>173.21227321019191</v>
      </c>
      <c r="DC47" s="33">
        <f t="shared" si="30"/>
        <v>173.69008060834415</v>
      </c>
      <c r="DD47" s="33">
        <f t="shared" si="30"/>
        <v>173.69008060834415</v>
      </c>
      <c r="DE47" s="33">
        <f t="shared" si="30"/>
        <v>173.72188915510188</v>
      </c>
      <c r="DF47" s="33">
        <f t="shared" si="30"/>
        <v>174.35682791039002</v>
      </c>
      <c r="DG47" s="33">
        <f t="shared" si="30"/>
        <v>175.40902332086486</v>
      </c>
      <c r="DH47" s="33">
        <f t="shared" si="30"/>
        <v>176.09333542140052</v>
      </c>
      <c r="DI47" s="33">
        <f t="shared" si="30"/>
        <v>177.14694554127939</v>
      </c>
      <c r="DJ47" s="33">
        <f t="shared" si="30"/>
        <v>178.74641547525619</v>
      </c>
      <c r="DK47" s="33">
        <f t="shared" si="30"/>
        <v>179.01019275466476</v>
      </c>
      <c r="DL47" s="33">
        <f t="shared" si="30"/>
        <v>179.22752347793326</v>
      </c>
      <c r="DM47" s="33">
        <f t="shared" si="30"/>
        <v>181.17119257019937</v>
      </c>
      <c r="DN47" s="33">
        <f t="shared" si="30"/>
        <v>181.36235575730134</v>
      </c>
      <c r="DO47" s="33">
        <f t="shared" si="30"/>
        <v>182.81203020241381</v>
      </c>
      <c r="DP47" s="33">
        <f t="shared" si="30"/>
        <v>182.81203020241381</v>
      </c>
      <c r="DQ47" s="33">
        <f t="shared" si="30"/>
        <v>183.14759616900113</v>
      </c>
      <c r="DR47" s="33">
        <f t="shared" si="30"/>
        <v>183.15563750956295</v>
      </c>
      <c r="DS47" s="33">
        <f t="shared" si="30"/>
        <v>184.04272820425467</v>
      </c>
      <c r="DT47" s="33">
        <f t="shared" si="30"/>
        <v>184.09365336851101</v>
      </c>
      <c r="DU47" s="33">
        <f t="shared" si="30"/>
        <v>185.56187495991784</v>
      </c>
      <c r="DV47" s="33">
        <f t="shared" si="30"/>
        <v>185.8505184089916</v>
      </c>
      <c r="DW47" s="33">
        <f t="shared" si="30"/>
        <v>186.96477126410068</v>
      </c>
      <c r="DX47" s="33">
        <f t="shared" si="30"/>
        <v>186.98540521916831</v>
      </c>
      <c r="DY47" s="33">
        <f t="shared" si="30"/>
        <v>189.6535207703661</v>
      </c>
      <c r="DZ47" s="33">
        <f t="shared" si="30"/>
        <v>189.656925736255</v>
      </c>
      <c r="EA47" s="33">
        <f t="shared" si="30"/>
        <v>189.97421806926465</v>
      </c>
      <c r="EB47" s="33">
        <f t="shared" si="30"/>
        <v>189.97421806926465</v>
      </c>
      <c r="EC47" s="33">
        <f t="shared" si="30"/>
        <v>189.98871253370038</v>
      </c>
      <c r="ED47" s="33">
        <f t="shared" si="30"/>
        <v>190.21282156263925</v>
      </c>
      <c r="EE47" s="33">
        <f t="shared" si="30"/>
        <v>190.77299717629484</v>
      </c>
      <c r="EF47" s="33">
        <f t="shared" si="30"/>
        <v>191.28285142084857</v>
      </c>
      <c r="EG47" s="33">
        <f t="shared" si="30"/>
        <v>191.78055293823564</v>
      </c>
      <c r="EH47" s="33">
        <f t="shared" si="30"/>
        <v>193.0566393240648</v>
      </c>
      <c r="EI47" s="33">
        <f t="shared" si="30"/>
        <v>193.23402951767511</v>
      </c>
      <c r="EJ47" s="3"/>
      <c r="EK47" s="3"/>
    </row>
    <row r="48" spans="1:14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</row>
    <row r="49" spans="1:141" x14ac:dyDescent="0.25">
      <c r="A49" s="3"/>
      <c r="B49" s="3"/>
      <c r="C49" s="3"/>
      <c r="D49" s="3"/>
      <c r="E49" s="3"/>
      <c r="F49" s="10" t="str">
        <f>KPI!$F$49</f>
        <v>себестоимость продаж ГП</v>
      </c>
      <c r="G49" s="3"/>
      <c r="H49" s="3"/>
      <c r="I49" s="3"/>
      <c r="J49" s="5" t="str">
        <f>IF($F49="","",INDEX(KPI!$I$11:$I$275,SUMIFS(KPI!$E$11:$E$275,KPI!$F$11:$F$275,$F49)))</f>
        <v>тыс.руб.</v>
      </c>
      <c r="K49" s="3"/>
      <c r="L49" s="3"/>
      <c r="M49" s="3"/>
      <c r="N49" s="3"/>
      <c r="O49" s="3"/>
      <c r="P49" s="3"/>
      <c r="Q49" s="12">
        <f>SUM(S49:EJ49)</f>
        <v>8265010.1591336159</v>
      </c>
      <c r="R49" s="3"/>
      <c r="S49" s="3"/>
      <c r="T49" s="33">
        <f>T47*T21/1000</f>
        <v>0</v>
      </c>
      <c r="U49" s="33">
        <f t="shared" ref="U49:CF49" si="31">U47*U21/1000</f>
        <v>0</v>
      </c>
      <c r="V49" s="33">
        <f t="shared" si="31"/>
        <v>0</v>
      </c>
      <c r="W49" s="33">
        <f t="shared" si="31"/>
        <v>0</v>
      </c>
      <c r="X49" s="33">
        <f t="shared" si="31"/>
        <v>921.60000000000025</v>
      </c>
      <c r="Y49" s="33">
        <f t="shared" si="31"/>
        <v>768.00000000000011</v>
      </c>
      <c r="Z49" s="33">
        <f t="shared" si="31"/>
        <v>768.00000000000023</v>
      </c>
      <c r="AA49" s="33">
        <f t="shared" si="31"/>
        <v>921.60000000000025</v>
      </c>
      <c r="AB49" s="33">
        <f t="shared" si="31"/>
        <v>1382.4000000000003</v>
      </c>
      <c r="AC49" s="33">
        <f t="shared" si="31"/>
        <v>1853.6498765667818</v>
      </c>
      <c r="AD49" s="33">
        <f t="shared" si="31"/>
        <v>2368.6733918130049</v>
      </c>
      <c r="AE49" s="33">
        <f t="shared" si="31"/>
        <v>2062.0397271280722</v>
      </c>
      <c r="AF49" s="33">
        <f t="shared" si="31"/>
        <v>3350.1868087114754</v>
      </c>
      <c r="AG49" s="33">
        <f t="shared" si="31"/>
        <v>3903.4989082175825</v>
      </c>
      <c r="AH49" s="33">
        <f t="shared" si="31"/>
        <v>4451.7375803497307</v>
      </c>
      <c r="AI49" s="33">
        <f t="shared" si="31"/>
        <v>4450.1791994483674</v>
      </c>
      <c r="AJ49" s="33">
        <f t="shared" si="31"/>
        <v>3357.322634013904</v>
      </c>
      <c r="AK49" s="33">
        <f t="shared" si="31"/>
        <v>2882.4677368565813</v>
      </c>
      <c r="AL49" s="33">
        <f t="shared" si="31"/>
        <v>2951.4204288809347</v>
      </c>
      <c r="AM49" s="33">
        <f t="shared" si="31"/>
        <v>3647.9962822842808</v>
      </c>
      <c r="AN49" s="33">
        <f t="shared" si="31"/>
        <v>5585.1556144197948</v>
      </c>
      <c r="AO49" s="33">
        <f t="shared" si="31"/>
        <v>7486.8606814840687</v>
      </c>
      <c r="AP49" s="33">
        <f t="shared" si="31"/>
        <v>9134.636676722319</v>
      </c>
      <c r="AQ49" s="33">
        <f t="shared" si="31"/>
        <v>7905.6207083993577</v>
      </c>
      <c r="AR49" s="33">
        <f t="shared" si="31"/>
        <v>9713.9149244300188</v>
      </c>
      <c r="AS49" s="33">
        <f t="shared" si="31"/>
        <v>11354.538024258656</v>
      </c>
      <c r="AT49" s="33">
        <f t="shared" si="31"/>
        <v>12982.676273350226</v>
      </c>
      <c r="AU49" s="33">
        <f t="shared" si="31"/>
        <v>12983.867611763273</v>
      </c>
      <c r="AV49" s="33">
        <f t="shared" si="31"/>
        <v>9738.5262374271042</v>
      </c>
      <c r="AW49" s="33">
        <f t="shared" si="31"/>
        <v>8115.8411343257703</v>
      </c>
      <c r="AX49" s="33">
        <f t="shared" si="31"/>
        <v>8326.1809341595417</v>
      </c>
      <c r="AY49" s="33">
        <f t="shared" si="31"/>
        <v>9934.7977771354017</v>
      </c>
      <c r="AZ49" s="33">
        <f t="shared" si="31"/>
        <v>14840.213339055963</v>
      </c>
      <c r="BA49" s="33">
        <f t="shared" si="31"/>
        <v>20063.411093892406</v>
      </c>
      <c r="BB49" s="33">
        <f t="shared" si="31"/>
        <v>25352.158630891765</v>
      </c>
      <c r="BC49" s="33">
        <f t="shared" si="31"/>
        <v>21989.302000057276</v>
      </c>
      <c r="BD49" s="33">
        <f t="shared" si="31"/>
        <v>19104.770188531373</v>
      </c>
      <c r="BE49" s="33">
        <f t="shared" si="31"/>
        <v>22304.530587342779</v>
      </c>
      <c r="BF49" s="33">
        <f t="shared" si="31"/>
        <v>26034.872089971745</v>
      </c>
      <c r="BG49" s="33">
        <f t="shared" si="31"/>
        <v>26195.948795283944</v>
      </c>
      <c r="BH49" s="33">
        <f t="shared" si="31"/>
        <v>19693.22276509352</v>
      </c>
      <c r="BI49" s="33">
        <f t="shared" si="31"/>
        <v>16489.5858564554</v>
      </c>
      <c r="BJ49" s="33">
        <f t="shared" si="31"/>
        <v>16509.001560869168</v>
      </c>
      <c r="BK49" s="33">
        <f t="shared" si="31"/>
        <v>19988.023965882458</v>
      </c>
      <c r="BL49" s="33">
        <f t="shared" si="31"/>
        <v>30411.705868596055</v>
      </c>
      <c r="BM49" s="33">
        <f t="shared" si="31"/>
        <v>40958.688513723122</v>
      </c>
      <c r="BN49" s="33">
        <f t="shared" si="31"/>
        <v>51713.617928714128</v>
      </c>
      <c r="BO49" s="33">
        <f t="shared" si="31"/>
        <v>44873.254763888901</v>
      </c>
      <c r="BP49" s="33">
        <f t="shared" si="31"/>
        <v>38239.620447728994</v>
      </c>
      <c r="BQ49" s="33">
        <f t="shared" si="31"/>
        <v>45631.323417262087</v>
      </c>
      <c r="BR49" s="33">
        <f t="shared" si="31"/>
        <v>52477.744369076849</v>
      </c>
      <c r="BS49" s="33">
        <f t="shared" si="31"/>
        <v>52923.582233348046</v>
      </c>
      <c r="BT49" s="33">
        <f t="shared" si="31"/>
        <v>39702.344643515418</v>
      </c>
      <c r="BU49" s="33">
        <f t="shared" si="31"/>
        <v>33252.335029255184</v>
      </c>
      <c r="BV49" s="33">
        <f t="shared" si="31"/>
        <v>33254.950033318972</v>
      </c>
      <c r="BW49" s="33">
        <f t="shared" si="31"/>
        <v>40224.882382911273</v>
      </c>
      <c r="BX49" s="33">
        <f t="shared" si="31"/>
        <v>60372.889569546067</v>
      </c>
      <c r="BY49" s="33">
        <f t="shared" si="31"/>
        <v>81981.934661979918</v>
      </c>
      <c r="BZ49" s="33">
        <f t="shared" si="31"/>
        <v>102905.52930572406</v>
      </c>
      <c r="CA49" s="33">
        <f t="shared" si="31"/>
        <v>89302.275673668453</v>
      </c>
      <c r="CB49" s="33">
        <f t="shared" si="31"/>
        <v>52582.134719836424</v>
      </c>
      <c r="CC49" s="33">
        <f t="shared" si="31"/>
        <v>64149.099290464495</v>
      </c>
      <c r="CD49" s="33">
        <f t="shared" si="31"/>
        <v>73473.374985369097</v>
      </c>
      <c r="CE49" s="33">
        <f t="shared" si="31"/>
        <v>73975.419873904073</v>
      </c>
      <c r="CF49" s="33">
        <f t="shared" si="31"/>
        <v>55481.564905428066</v>
      </c>
      <c r="CG49" s="33">
        <f t="shared" ref="CG49:EI49" si="32">CG47*CG21/1000</f>
        <v>46284.372544064783</v>
      </c>
      <c r="CH49" s="33">
        <f t="shared" si="32"/>
        <v>46298.423374250546</v>
      </c>
      <c r="CI49" s="33">
        <f t="shared" si="32"/>
        <v>55991.576362438514</v>
      </c>
      <c r="CJ49" s="33">
        <f t="shared" si="32"/>
        <v>84439.580317668806</v>
      </c>
      <c r="CK49" s="33">
        <f t="shared" si="32"/>
        <v>113652.90358169978</v>
      </c>
      <c r="CL49" s="33">
        <f t="shared" si="32"/>
        <v>143957.26634395844</v>
      </c>
      <c r="CM49" s="33">
        <f t="shared" si="32"/>
        <v>125006.418833884</v>
      </c>
      <c r="CN49" s="33">
        <f t="shared" si="32"/>
        <v>71459.525572494444</v>
      </c>
      <c r="CO49" s="33">
        <f t="shared" si="32"/>
        <v>84536.598691865569</v>
      </c>
      <c r="CP49" s="33">
        <f t="shared" si="32"/>
        <v>96809.334947530922</v>
      </c>
      <c r="CQ49" s="33">
        <f t="shared" si="32"/>
        <v>98211.426517265791</v>
      </c>
      <c r="CR49" s="33">
        <f t="shared" si="32"/>
        <v>73658.569887949343</v>
      </c>
      <c r="CS49" s="33">
        <f t="shared" si="32"/>
        <v>61651.876042896089</v>
      </c>
      <c r="CT49" s="33">
        <f t="shared" si="32"/>
        <v>61669.560593233393</v>
      </c>
      <c r="CU49" s="33">
        <f t="shared" si="32"/>
        <v>74586.898881018395</v>
      </c>
      <c r="CV49" s="33">
        <f t="shared" si="32"/>
        <v>111981.16888489699</v>
      </c>
      <c r="CW49" s="33">
        <f t="shared" si="32"/>
        <v>151483.37645295923</v>
      </c>
      <c r="CX49" s="33">
        <f t="shared" si="32"/>
        <v>190105.98883740522</v>
      </c>
      <c r="CY49" s="33">
        <f t="shared" si="32"/>
        <v>164924.72049127499</v>
      </c>
      <c r="CZ49" s="33">
        <f t="shared" si="32"/>
        <v>84576.779739115373</v>
      </c>
      <c r="DA49" s="33">
        <f t="shared" si="32"/>
        <v>101830.60712146055</v>
      </c>
      <c r="DB49" s="33">
        <f t="shared" si="32"/>
        <v>116398.64759724896</v>
      </c>
      <c r="DC49" s="33">
        <f t="shared" si="32"/>
        <v>116719.73416880726</v>
      </c>
      <c r="DD49" s="33">
        <f t="shared" si="32"/>
        <v>87539.800626605458</v>
      </c>
      <c r="DE49" s="33">
        <f t="shared" si="32"/>
        <v>72963.193445142795</v>
      </c>
      <c r="DF49" s="33">
        <f t="shared" si="32"/>
        <v>73229.867722363808</v>
      </c>
      <c r="DG49" s="33">
        <f t="shared" si="32"/>
        <v>88406.147753715893</v>
      </c>
      <c r="DH49" s="33">
        <f t="shared" si="32"/>
        <v>133126.56157857881</v>
      </c>
      <c r="DI49" s="33">
        <f t="shared" si="32"/>
        <v>178564.12110560964</v>
      </c>
      <c r="DJ49" s="33">
        <f t="shared" si="32"/>
        <v>225220.48349882281</v>
      </c>
      <c r="DK49" s="33">
        <f t="shared" si="32"/>
        <v>195479.13048809391</v>
      </c>
      <c r="DL49" s="33">
        <f t="shared" si="32"/>
        <v>96782.862678083955</v>
      </c>
      <c r="DM49" s="33">
        <f t="shared" si="32"/>
        <v>114137.85131922562</v>
      </c>
      <c r="DN49" s="33">
        <f t="shared" si="32"/>
        <v>130580.89614525696</v>
      </c>
      <c r="DO49" s="33">
        <f t="shared" si="32"/>
        <v>131624.66174573795</v>
      </c>
      <c r="DP49" s="33">
        <f t="shared" si="32"/>
        <v>98718.49630930346</v>
      </c>
      <c r="DQ49" s="33">
        <f t="shared" si="32"/>
        <v>82416.418276050506</v>
      </c>
      <c r="DR49" s="33">
        <f t="shared" si="32"/>
        <v>82420.036879303327</v>
      </c>
      <c r="DS49" s="33">
        <f t="shared" si="32"/>
        <v>99383.073230297523</v>
      </c>
      <c r="DT49" s="33">
        <f t="shared" si="32"/>
        <v>149115.85922849394</v>
      </c>
      <c r="DU49" s="33">
        <f t="shared" si="32"/>
        <v>200406.82495671127</v>
      </c>
      <c r="DV49" s="33">
        <f t="shared" si="32"/>
        <v>250898.19985213867</v>
      </c>
      <c r="DW49" s="33">
        <f t="shared" si="32"/>
        <v>218748.7823789978</v>
      </c>
      <c r="DX49" s="33">
        <f t="shared" si="32"/>
        <v>100972.11881835089</v>
      </c>
      <c r="DY49" s="33">
        <f t="shared" si="32"/>
        <v>119481.71808533066</v>
      </c>
      <c r="DZ49" s="33">
        <f t="shared" si="32"/>
        <v>136552.9865301036</v>
      </c>
      <c r="EA49" s="33">
        <f t="shared" si="32"/>
        <v>136781.43700987057</v>
      </c>
      <c r="EB49" s="33">
        <f t="shared" si="32"/>
        <v>102586.07775740291</v>
      </c>
      <c r="EC49" s="33">
        <f t="shared" si="32"/>
        <v>85494.920640165161</v>
      </c>
      <c r="ED49" s="33">
        <f t="shared" si="32"/>
        <v>85595.76970318766</v>
      </c>
      <c r="EE49" s="33">
        <f t="shared" si="32"/>
        <v>103017.41847519921</v>
      </c>
      <c r="EF49" s="33">
        <f t="shared" si="32"/>
        <v>154939.10965088735</v>
      </c>
      <c r="EG49" s="33">
        <f t="shared" si="32"/>
        <v>207122.99717329448</v>
      </c>
      <c r="EH49" s="33">
        <f t="shared" si="32"/>
        <v>260626.4630874875</v>
      </c>
      <c r="EI49" s="33">
        <f t="shared" si="32"/>
        <v>226083.81453567988</v>
      </c>
      <c r="EJ49" s="3"/>
      <c r="EK49" s="3"/>
    </row>
    <row r="50" spans="1:14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</row>
    <row r="51" spans="1:141" x14ac:dyDescent="0.25">
      <c r="A51" s="3"/>
      <c r="B51" s="3"/>
      <c r="C51" s="3"/>
      <c r="D51" s="3"/>
      <c r="E51" s="3"/>
      <c r="F51" s="10" t="str">
        <f>KPI!$F$52</f>
        <v>месяц и коэффициент масштабирования производства</v>
      </c>
      <c r="G51" s="3"/>
      <c r="H51" s="3"/>
      <c r="I51" s="3"/>
      <c r="J51" s="5" t="str">
        <f>IF($F51="","",INDEX(KPI!$I$11:$I$275,SUMIFS(KPI!$E$11:$E$275,KPI!$F$11:$F$275,$F51)))</f>
        <v>коэфф</v>
      </c>
      <c r="K51" s="3"/>
      <c r="L51" s="3"/>
      <c r="M51" s="3"/>
      <c r="N51" s="3"/>
      <c r="O51" s="3"/>
      <c r="P51" s="3"/>
      <c r="Q51" s="12">
        <f>SUM(S51:EJ51)</f>
        <v>2</v>
      </c>
      <c r="R51" s="3"/>
      <c r="S51" s="3"/>
      <c r="T51" s="33">
        <f>IF(условия!$Q$52=0,0,IF(T25&gt;условия!$Q$52*(SUM($S$51:S51)+1),1+INT((T25-(условия!$Q$52*(SUM($S$51:S51)+1)))/условия!$Q$52),0))</f>
        <v>0</v>
      </c>
      <c r="U51" s="33">
        <f>IF(условия!$Q$52=0,0,IF(U25&gt;условия!$Q$52*(SUM($S$51:T51)+1),1+INT((U25-(условия!$Q$52*(SUM($S$51:T51)+1)))/условия!$Q$52),0))</f>
        <v>0</v>
      </c>
      <c r="V51" s="33">
        <f>IF(условия!$Q$52=0,0,IF(V25&gt;условия!$Q$52*(SUM($S$51:U51)+1),1+INT((V25-(условия!$Q$52*(SUM($S$51:U51)+1)))/условия!$Q$52),0))</f>
        <v>0</v>
      </c>
      <c r="W51" s="33">
        <f>IF(условия!$Q$52=0,0,IF(W25&gt;условия!$Q$52*(SUM($S$51:V51)+1),1+INT((W25-(условия!$Q$52*(SUM($S$51:V51)+1)))/условия!$Q$52),0))</f>
        <v>0</v>
      </c>
      <c r="X51" s="33">
        <f>IF(условия!$Q$52=0,0,IF(X25&gt;условия!$Q$52*(SUM($S$51:W51)+1),1+INT((X25-(условия!$Q$52*(SUM($S$51:W51)+1)))/условия!$Q$52),0))</f>
        <v>0</v>
      </c>
      <c r="Y51" s="33">
        <f>IF(условия!$Q$52=0,0,IF(Y25&gt;условия!$Q$52*(SUM($S$51:X51)+1),1+INT((Y25-(условия!$Q$52*(SUM($S$51:X51)+1)))/условия!$Q$52),0))</f>
        <v>0</v>
      </c>
      <c r="Z51" s="33">
        <f>IF(условия!$Q$52=0,0,IF(Z25&gt;условия!$Q$52*(SUM($S$51:Y51)+1),1+INT((Z25-(условия!$Q$52*(SUM($S$51:Y51)+1)))/условия!$Q$52),0))</f>
        <v>0</v>
      </c>
      <c r="AA51" s="33">
        <f>IF(условия!$Q$52=0,0,IF(AA25&gt;условия!$Q$52*(SUM($S$51:Z51)+1),1+INT((AA25-(условия!$Q$52*(SUM($S$51:Z51)+1)))/условия!$Q$52),0))</f>
        <v>0</v>
      </c>
      <c r="AB51" s="33">
        <f>IF(условия!$Q$52=0,0,IF(AB25&gt;условия!$Q$52*(SUM($S$51:AA51)+1),1+INT((AB25-(условия!$Q$52*(SUM($S$51:AA51)+1)))/условия!$Q$52),0))</f>
        <v>0</v>
      </c>
      <c r="AC51" s="33">
        <f>IF(условия!$Q$52=0,0,IF(AC25&gt;условия!$Q$52*(SUM($S$51:AB51)+1),1+INT((AC25-(условия!$Q$52*(SUM($S$51:AB51)+1)))/условия!$Q$52),0))</f>
        <v>0</v>
      </c>
      <c r="AD51" s="33">
        <f>IF(условия!$Q$52=0,0,IF(AD25&gt;условия!$Q$52*(SUM($S$51:AC51)+1),1+INT((AD25-(условия!$Q$52*(SUM($S$51:AC51)+1)))/условия!$Q$52),0))</f>
        <v>0</v>
      </c>
      <c r="AE51" s="33">
        <f>IF(условия!$Q$52=0,0,IF(AE25&gt;условия!$Q$52*(SUM($S$51:AD51)+1),1+INT((AE25-(условия!$Q$52*(SUM($S$51:AD51)+1)))/условия!$Q$52),0))</f>
        <v>0</v>
      </c>
      <c r="AF51" s="33">
        <f>IF(условия!$Q$52=0,0,IF(AF25&gt;условия!$Q$52*(SUM($S$51:AE51)+1),1+INT((AF25-(условия!$Q$52*(SUM($S$51:AE51)+1)))/условия!$Q$52),0))</f>
        <v>0</v>
      </c>
      <c r="AG51" s="33">
        <f>IF(условия!$Q$52=0,0,IF(AG25&gt;условия!$Q$52*(SUM($S$51:AF51)+1),1+INT((AG25-(условия!$Q$52*(SUM($S$51:AF51)+1)))/условия!$Q$52),0))</f>
        <v>0</v>
      </c>
      <c r="AH51" s="33">
        <f>IF(условия!$Q$52=0,0,IF(AH25&gt;условия!$Q$52*(SUM($S$51:AG51)+1),1+INT((AH25-(условия!$Q$52*(SUM($S$51:AG51)+1)))/условия!$Q$52),0))</f>
        <v>0</v>
      </c>
      <c r="AI51" s="33">
        <f>IF(условия!$Q$52=0,0,IF(AI25&gt;условия!$Q$52*(SUM($S$51:AH51)+1),1+INT((AI25-(условия!$Q$52*(SUM($S$51:AH51)+1)))/условия!$Q$52),0))</f>
        <v>0</v>
      </c>
      <c r="AJ51" s="33">
        <f>IF(условия!$Q$52=0,0,IF(AJ25&gt;условия!$Q$52*(SUM($S$51:AI51)+1),1+INT((AJ25-(условия!$Q$52*(SUM($S$51:AI51)+1)))/условия!$Q$52),0))</f>
        <v>0</v>
      </c>
      <c r="AK51" s="33">
        <f>IF(условия!$Q$52=0,0,IF(AK25&gt;условия!$Q$52*(SUM($S$51:AJ51)+1),1+INT((AK25-(условия!$Q$52*(SUM($S$51:AJ51)+1)))/условия!$Q$52),0))</f>
        <v>0</v>
      </c>
      <c r="AL51" s="33">
        <f>IF(условия!$Q$52=0,0,IF(AL25&gt;условия!$Q$52*(SUM($S$51:AK51)+1),1+INT((AL25-(условия!$Q$52*(SUM($S$51:AK51)+1)))/условия!$Q$52),0))</f>
        <v>0</v>
      </c>
      <c r="AM51" s="33">
        <f>IF(условия!$Q$52=0,0,IF(AM25&gt;условия!$Q$52*(SUM($S$51:AL51)+1),1+INT((AM25-(условия!$Q$52*(SUM($S$51:AL51)+1)))/условия!$Q$52),0))</f>
        <v>0</v>
      </c>
      <c r="AN51" s="33">
        <f>IF(условия!$Q$52=0,0,IF(AN25&gt;условия!$Q$52*(SUM($S$51:AM51)+1),1+INT((AN25-(условия!$Q$52*(SUM($S$51:AM51)+1)))/условия!$Q$52),0))</f>
        <v>0</v>
      </c>
      <c r="AO51" s="33">
        <f>IF(условия!$Q$52=0,0,IF(AO25&gt;условия!$Q$52*(SUM($S$51:AN51)+1),1+INT((AO25-(условия!$Q$52*(SUM($S$51:AN51)+1)))/условия!$Q$52),0))</f>
        <v>0</v>
      </c>
      <c r="AP51" s="33">
        <f>IF(условия!$Q$52=0,0,IF(AP25&gt;условия!$Q$52*(SUM($S$51:AO51)+1),1+INT((AP25-(условия!$Q$52*(SUM($S$51:AO51)+1)))/условия!$Q$52),0))</f>
        <v>0</v>
      </c>
      <c r="AQ51" s="33">
        <f>IF(условия!$Q$52=0,0,IF(AQ25&gt;условия!$Q$52*(SUM($S$51:AP51)+1),1+INT((AQ25-(условия!$Q$52*(SUM($S$51:AP51)+1)))/условия!$Q$52),0))</f>
        <v>0</v>
      </c>
      <c r="AR51" s="33">
        <f>IF(условия!$Q$52=0,0,IF(AR25&gt;условия!$Q$52*(SUM($S$51:AQ51)+1),1+INT((AR25-(условия!$Q$52*(SUM($S$51:AQ51)+1)))/условия!$Q$52),0))</f>
        <v>0</v>
      </c>
      <c r="AS51" s="33">
        <f>IF(условия!$Q$52=0,0,IF(AS25&gt;условия!$Q$52*(SUM($S$51:AR51)+1),1+INT((AS25-(условия!$Q$52*(SUM($S$51:AR51)+1)))/условия!$Q$52),0))</f>
        <v>0</v>
      </c>
      <c r="AT51" s="33">
        <f>IF(условия!$Q$52=0,0,IF(AT25&gt;условия!$Q$52*(SUM($S$51:AS51)+1),1+INT((AT25-(условия!$Q$52*(SUM($S$51:AS51)+1)))/условия!$Q$52),0))</f>
        <v>0</v>
      </c>
      <c r="AU51" s="33">
        <f>IF(условия!$Q$52=0,0,IF(AU25&gt;условия!$Q$52*(SUM($S$51:AT51)+1),1+INT((AU25-(условия!$Q$52*(SUM($S$51:AT51)+1)))/условия!$Q$52),0))</f>
        <v>0</v>
      </c>
      <c r="AV51" s="33">
        <f>IF(условия!$Q$52=0,0,IF(AV25&gt;условия!$Q$52*(SUM($S$51:AU51)+1),1+INT((AV25-(условия!$Q$52*(SUM($S$51:AU51)+1)))/условия!$Q$52),0))</f>
        <v>0</v>
      </c>
      <c r="AW51" s="33">
        <f>IF(условия!$Q$52=0,0,IF(AW25&gt;условия!$Q$52*(SUM($S$51:AV51)+1),1+INT((AW25-(условия!$Q$52*(SUM($S$51:AV51)+1)))/условия!$Q$52),0))</f>
        <v>0</v>
      </c>
      <c r="AX51" s="33">
        <f>IF(условия!$Q$52=0,0,IF(AX25&gt;условия!$Q$52*(SUM($S$51:AW51)+1),1+INT((AX25-(условия!$Q$52*(SUM($S$51:AW51)+1)))/условия!$Q$52),0))</f>
        <v>0</v>
      </c>
      <c r="AY51" s="33">
        <f>IF(условия!$Q$52=0,0,IF(AY25&gt;условия!$Q$52*(SUM($S$51:AX51)+1),1+INT((AY25-(условия!$Q$52*(SUM($S$51:AX51)+1)))/условия!$Q$52),0))</f>
        <v>0</v>
      </c>
      <c r="AZ51" s="33">
        <f>IF(условия!$Q$52=0,0,IF(AZ25&gt;условия!$Q$52*(SUM($S$51:AY51)+1),1+INT((AZ25-(условия!$Q$52*(SUM($S$51:AY51)+1)))/условия!$Q$52),0))</f>
        <v>0</v>
      </c>
      <c r="BA51" s="33">
        <f>IF(условия!$Q$52=0,0,IF(BA25&gt;условия!$Q$52*(SUM($S$51:AZ51)+1),1+INT((BA25-(условия!$Q$52*(SUM($S$51:AZ51)+1)))/условия!$Q$52),0))</f>
        <v>0</v>
      </c>
      <c r="BB51" s="33">
        <f>IF(условия!$Q$52=0,0,IF(BB25&gt;условия!$Q$52*(SUM($S$51:BA51)+1),1+INT((BB25-(условия!$Q$52*(SUM($S$51:BA51)+1)))/условия!$Q$52),0))</f>
        <v>0</v>
      </c>
      <c r="BC51" s="33">
        <f>IF(условия!$Q$52=0,0,IF(BC25&gt;условия!$Q$52*(SUM($S$51:BB51)+1),1+INT((BC25-(условия!$Q$52*(SUM($S$51:BB51)+1)))/условия!$Q$52),0))</f>
        <v>0</v>
      </c>
      <c r="BD51" s="33">
        <f>IF(условия!$Q$52=0,0,IF(BD25&gt;условия!$Q$52*(SUM($S$51:BC51)+1),1+INT((BD25-(условия!$Q$52*(SUM($S$51:BC51)+1)))/условия!$Q$52),0))</f>
        <v>0</v>
      </c>
      <c r="BE51" s="33">
        <f>IF(условия!$Q$52=0,0,IF(BE25&gt;условия!$Q$52*(SUM($S$51:BD51)+1),1+INT((BE25-(условия!$Q$52*(SUM($S$51:BD51)+1)))/условия!$Q$52),0))</f>
        <v>0</v>
      </c>
      <c r="BF51" s="33">
        <f>IF(условия!$Q$52=0,0,IF(BF25&gt;условия!$Q$52*(SUM($S$51:BE51)+1),1+INT((BF25-(условия!$Q$52*(SUM($S$51:BE51)+1)))/условия!$Q$52),0))</f>
        <v>0</v>
      </c>
      <c r="BG51" s="33">
        <f>IF(условия!$Q$52=0,0,IF(BG25&gt;условия!$Q$52*(SUM($S$51:BF51)+1),1+INT((BG25-(условия!$Q$52*(SUM($S$51:BF51)+1)))/условия!$Q$52),0))</f>
        <v>0</v>
      </c>
      <c r="BH51" s="33">
        <f>IF(условия!$Q$52=0,0,IF(BH25&gt;условия!$Q$52*(SUM($S$51:BG51)+1),1+INT((BH25-(условия!$Q$52*(SUM($S$51:BG51)+1)))/условия!$Q$52),0))</f>
        <v>0</v>
      </c>
      <c r="BI51" s="33">
        <f>IF(условия!$Q$52=0,0,IF(BI25&gt;условия!$Q$52*(SUM($S$51:BH51)+1),1+INT((BI25-(условия!$Q$52*(SUM($S$51:BH51)+1)))/условия!$Q$52),0))</f>
        <v>0</v>
      </c>
      <c r="BJ51" s="33">
        <f>IF(условия!$Q$52=0,0,IF(BJ25&gt;условия!$Q$52*(SUM($S$51:BI51)+1),1+INT((BJ25-(условия!$Q$52*(SUM($S$51:BI51)+1)))/условия!$Q$52),0))</f>
        <v>0</v>
      </c>
      <c r="BK51" s="33">
        <f>IF(условия!$Q$52=0,0,IF(BK25&gt;условия!$Q$52*(SUM($S$51:BJ51)+1),1+INT((BK25-(условия!$Q$52*(SUM($S$51:BJ51)+1)))/условия!$Q$52),0))</f>
        <v>0</v>
      </c>
      <c r="BL51" s="33">
        <f>IF(условия!$Q$52=0,0,IF(BL25&gt;условия!$Q$52*(SUM($S$51:BK51)+1),1+INT((BL25-(условия!$Q$52*(SUM($S$51:BK51)+1)))/условия!$Q$52),0))</f>
        <v>0</v>
      </c>
      <c r="BM51" s="33">
        <f>IF(условия!$Q$52=0,0,IF(BM25&gt;условия!$Q$52*(SUM($S$51:BL51)+1),1+INT((BM25-(условия!$Q$52*(SUM($S$51:BL51)+1)))/условия!$Q$52),0))</f>
        <v>0</v>
      </c>
      <c r="BN51" s="33">
        <f>IF(условия!$Q$52=0,0,IF(BN25&gt;условия!$Q$52*(SUM($S$51:BM51)+1),1+INT((BN25-(условия!$Q$52*(SUM($S$51:BM51)+1)))/условия!$Q$52),0))</f>
        <v>0</v>
      </c>
      <c r="BO51" s="33">
        <f>IF(условия!$Q$52=0,0,IF(BO25&gt;условия!$Q$52*(SUM($S$51:BN51)+1),1+INT((BO25-(условия!$Q$52*(SUM($S$51:BN51)+1)))/условия!$Q$52),0))</f>
        <v>0</v>
      </c>
      <c r="BP51" s="33">
        <f>IF(условия!$Q$52=0,0,IF(BP25&gt;условия!$Q$52*(SUM($S$51:BO51)+1),1+INT((BP25-(условия!$Q$52*(SUM($S$51:BO51)+1)))/условия!$Q$52),0))</f>
        <v>0</v>
      </c>
      <c r="BQ51" s="33">
        <f>IF(условия!$Q$52=0,0,IF(BQ25&gt;условия!$Q$52*(SUM($S$51:BP51)+1),1+INT((BQ25-(условия!$Q$52*(SUM($S$51:BP51)+1)))/условия!$Q$52),0))</f>
        <v>0</v>
      </c>
      <c r="BR51" s="33">
        <f>IF(условия!$Q$52=0,0,IF(BR25&gt;условия!$Q$52*(SUM($S$51:BQ51)+1),1+INT((BR25-(условия!$Q$52*(SUM($S$51:BQ51)+1)))/условия!$Q$52),0))</f>
        <v>0</v>
      </c>
      <c r="BS51" s="33">
        <f>IF(условия!$Q$52=0,0,IF(BS25&gt;условия!$Q$52*(SUM($S$51:BR51)+1),1+INT((BS25-(условия!$Q$52*(SUM($S$51:BR51)+1)))/условия!$Q$52),0))</f>
        <v>0</v>
      </c>
      <c r="BT51" s="33">
        <f>IF(условия!$Q$52=0,0,IF(BT25&gt;условия!$Q$52*(SUM($S$51:BS51)+1),1+INT((BT25-(условия!$Q$52*(SUM($S$51:BS51)+1)))/условия!$Q$52),0))</f>
        <v>0</v>
      </c>
      <c r="BU51" s="33">
        <f>IF(условия!$Q$52=0,0,IF(BU25&gt;условия!$Q$52*(SUM($S$51:BT51)+1),1+INT((BU25-(условия!$Q$52*(SUM($S$51:BT51)+1)))/условия!$Q$52),0))</f>
        <v>0</v>
      </c>
      <c r="BV51" s="33">
        <f>IF(условия!$Q$52=0,0,IF(BV25&gt;условия!$Q$52*(SUM($S$51:BU51)+1),1+INT((BV25-(условия!$Q$52*(SUM($S$51:BU51)+1)))/условия!$Q$52),0))</f>
        <v>0</v>
      </c>
      <c r="BW51" s="33">
        <f>IF(условия!$Q$52=0,0,IF(BW25&gt;условия!$Q$52*(SUM($S$51:BV51)+1),1+INT((BW25-(условия!$Q$52*(SUM($S$51:BV51)+1)))/условия!$Q$52),0))</f>
        <v>0</v>
      </c>
      <c r="BX51" s="33">
        <f>IF(условия!$Q$52=0,0,IF(BX25&gt;условия!$Q$52*(SUM($S$51:BW51)+1),1+INT((BX25-(условия!$Q$52*(SUM($S$51:BW51)+1)))/условия!$Q$52),0))</f>
        <v>0</v>
      </c>
      <c r="BY51" s="33">
        <f>IF(условия!$Q$52=0,0,IF(BY25&gt;условия!$Q$52*(SUM($S$51:BX51)+1),1+INT((BY25-(условия!$Q$52*(SUM($S$51:BX51)+1)))/условия!$Q$52),0))</f>
        <v>1</v>
      </c>
      <c r="BZ51" s="33">
        <f>IF(условия!$Q$52=0,0,IF(BZ25&gt;условия!$Q$52*(SUM($S$51:BY51)+1),1+INT((BZ25-(условия!$Q$52*(SUM($S$51:BY51)+1)))/условия!$Q$52),0))</f>
        <v>0</v>
      </c>
      <c r="CA51" s="33">
        <f>IF(условия!$Q$52=0,0,IF(CA25&gt;условия!$Q$52*(SUM($S$51:BZ51)+1),1+INT((CA25-(условия!$Q$52*(SUM($S$51:BZ51)+1)))/условия!$Q$52),0))</f>
        <v>0</v>
      </c>
      <c r="CB51" s="33">
        <f>IF(условия!$Q$52=0,0,IF(CB25&gt;условия!$Q$52*(SUM($S$51:CA51)+1),1+INT((CB25-(условия!$Q$52*(SUM($S$51:CA51)+1)))/условия!$Q$52),0))</f>
        <v>0</v>
      </c>
      <c r="CC51" s="33">
        <f>IF(условия!$Q$52=0,0,IF(CC25&gt;условия!$Q$52*(SUM($S$51:CB51)+1),1+INT((CC25-(условия!$Q$52*(SUM($S$51:CB51)+1)))/условия!$Q$52),0))</f>
        <v>0</v>
      </c>
      <c r="CD51" s="33">
        <f>IF(условия!$Q$52=0,0,IF(CD25&gt;условия!$Q$52*(SUM($S$51:CC51)+1),1+INT((CD25-(условия!$Q$52*(SUM($S$51:CC51)+1)))/условия!$Q$52),0))</f>
        <v>0</v>
      </c>
      <c r="CE51" s="33">
        <f>IF(условия!$Q$52=0,0,IF(CE25&gt;условия!$Q$52*(SUM($S$51:CD51)+1),1+INT((CE25-(условия!$Q$52*(SUM($S$51:CD51)+1)))/условия!$Q$52),0))</f>
        <v>0</v>
      </c>
      <c r="CF51" s="33">
        <f>IF(условия!$Q$52=0,0,IF(CF25&gt;условия!$Q$52*(SUM($S$51:CE51)+1),1+INT((CF25-(условия!$Q$52*(SUM($S$51:CE51)+1)))/условия!$Q$52),0))</f>
        <v>0</v>
      </c>
      <c r="CG51" s="33">
        <f>IF(условия!$Q$52=0,0,IF(CG25&gt;условия!$Q$52*(SUM($S$51:CF51)+1),1+INT((CG25-(условия!$Q$52*(SUM($S$51:CF51)+1)))/условия!$Q$52),0))</f>
        <v>0</v>
      </c>
      <c r="CH51" s="33">
        <f>IF(условия!$Q$52=0,0,IF(CH25&gt;условия!$Q$52*(SUM($S$51:CG51)+1),1+INT((CH25-(условия!$Q$52*(SUM($S$51:CG51)+1)))/условия!$Q$52),0))</f>
        <v>0</v>
      </c>
      <c r="CI51" s="33">
        <f>IF(условия!$Q$52=0,0,IF(CI25&gt;условия!$Q$52*(SUM($S$51:CH51)+1),1+INT((CI25-(условия!$Q$52*(SUM($S$51:CH51)+1)))/условия!$Q$52),0))</f>
        <v>0</v>
      </c>
      <c r="CJ51" s="33">
        <f>IF(условия!$Q$52=0,0,IF(CJ25&gt;условия!$Q$52*(SUM($S$51:CI51)+1),1+INT((CJ25-(условия!$Q$52*(SUM($S$51:CI51)+1)))/условия!$Q$52),0))</f>
        <v>0</v>
      </c>
      <c r="CK51" s="33">
        <f>IF(условия!$Q$52=0,0,IF(CK25&gt;условия!$Q$52*(SUM($S$51:CJ51)+1),1+INT((CK25-(условия!$Q$52*(SUM($S$51:CJ51)+1)))/условия!$Q$52),0))</f>
        <v>0</v>
      </c>
      <c r="CL51" s="33">
        <f>IF(условия!$Q$52=0,0,IF(CL25&gt;условия!$Q$52*(SUM($S$51:CK51)+1),1+INT((CL25-(условия!$Q$52*(SUM($S$51:CK51)+1)))/условия!$Q$52),0))</f>
        <v>0</v>
      </c>
      <c r="CM51" s="33">
        <f>IF(условия!$Q$52=0,0,IF(CM25&gt;условия!$Q$52*(SUM($S$51:CL51)+1),1+INT((CM25-(условия!$Q$52*(SUM($S$51:CL51)+1)))/условия!$Q$52),0))</f>
        <v>0</v>
      </c>
      <c r="CN51" s="33">
        <f>IF(условия!$Q$52=0,0,IF(CN25&gt;условия!$Q$52*(SUM($S$51:CM51)+1),1+INT((CN25-(условия!$Q$52*(SUM($S$51:CM51)+1)))/условия!$Q$52),0))</f>
        <v>0</v>
      </c>
      <c r="CO51" s="33">
        <f>IF(условия!$Q$52=0,0,IF(CO25&gt;условия!$Q$52*(SUM($S$51:CN51)+1),1+INT((CO25-(условия!$Q$52*(SUM($S$51:CN51)+1)))/условия!$Q$52),0))</f>
        <v>0</v>
      </c>
      <c r="CP51" s="33">
        <f>IF(условия!$Q$52=0,0,IF(CP25&gt;условия!$Q$52*(SUM($S$51:CO51)+1),1+INT((CP25-(условия!$Q$52*(SUM($S$51:CO51)+1)))/условия!$Q$52),0))</f>
        <v>0</v>
      </c>
      <c r="CQ51" s="33">
        <f>IF(условия!$Q$52=0,0,IF(CQ25&gt;условия!$Q$52*(SUM($S$51:CP51)+1),1+INT((CQ25-(условия!$Q$52*(SUM($S$51:CP51)+1)))/условия!$Q$52),0))</f>
        <v>0</v>
      </c>
      <c r="CR51" s="33">
        <f>IF(условия!$Q$52=0,0,IF(CR25&gt;условия!$Q$52*(SUM($S$51:CQ51)+1),1+INT((CR25-(условия!$Q$52*(SUM($S$51:CQ51)+1)))/условия!$Q$52),0))</f>
        <v>0</v>
      </c>
      <c r="CS51" s="33">
        <f>IF(условия!$Q$52=0,0,IF(CS25&gt;условия!$Q$52*(SUM($S$51:CR51)+1),1+INT((CS25-(условия!$Q$52*(SUM($S$51:CR51)+1)))/условия!$Q$52),0))</f>
        <v>0</v>
      </c>
      <c r="CT51" s="33">
        <f>IF(условия!$Q$52=0,0,IF(CT25&gt;условия!$Q$52*(SUM($S$51:CS51)+1),1+INT((CT25-(условия!$Q$52*(SUM($S$51:CS51)+1)))/условия!$Q$52),0))</f>
        <v>0</v>
      </c>
      <c r="CU51" s="33">
        <f>IF(условия!$Q$52=0,0,IF(CU25&gt;условия!$Q$52*(SUM($S$51:CT51)+1),1+INT((CU25-(условия!$Q$52*(SUM($S$51:CT51)+1)))/условия!$Q$52),0))</f>
        <v>0</v>
      </c>
      <c r="CV51" s="33">
        <f>IF(условия!$Q$52=0,0,IF(CV25&gt;условия!$Q$52*(SUM($S$51:CU51)+1),1+INT((CV25-(условия!$Q$52*(SUM($S$51:CU51)+1)))/условия!$Q$52),0))</f>
        <v>0</v>
      </c>
      <c r="CW51" s="33">
        <f>IF(условия!$Q$52=0,0,IF(CW25&gt;условия!$Q$52*(SUM($S$51:CV51)+1),1+INT((CW25-(условия!$Q$52*(SUM($S$51:CV51)+1)))/условия!$Q$52),0))</f>
        <v>0</v>
      </c>
      <c r="CX51" s="33">
        <f>IF(условия!$Q$52=0,0,IF(CX25&gt;условия!$Q$52*(SUM($S$51:CW51)+1),1+INT((CX25-(условия!$Q$52*(SUM($S$51:CW51)+1)))/условия!$Q$52),0))</f>
        <v>0</v>
      </c>
      <c r="CY51" s="33">
        <f>IF(условия!$Q$52=0,0,IF(CY25&gt;условия!$Q$52*(SUM($S$51:CX51)+1),1+INT((CY25-(условия!$Q$52*(SUM($S$51:CX51)+1)))/условия!$Q$52),0))</f>
        <v>0</v>
      </c>
      <c r="CZ51" s="33">
        <f>IF(условия!$Q$52=0,0,IF(CZ25&gt;условия!$Q$52*(SUM($S$51:CY51)+1),1+INT((CZ25-(условия!$Q$52*(SUM($S$51:CY51)+1)))/условия!$Q$52),0))</f>
        <v>0</v>
      </c>
      <c r="DA51" s="33">
        <f>IF(условия!$Q$52=0,0,IF(DA25&gt;условия!$Q$52*(SUM($S$51:CZ51)+1),1+INT((DA25-(условия!$Q$52*(SUM($S$51:CZ51)+1)))/условия!$Q$52),0))</f>
        <v>0</v>
      </c>
      <c r="DB51" s="33">
        <f>IF(условия!$Q$52=0,0,IF(DB25&gt;условия!$Q$52*(SUM($S$51:DA51)+1),1+INT((DB25-(условия!$Q$52*(SUM($S$51:DA51)+1)))/условия!$Q$52),0))</f>
        <v>0</v>
      </c>
      <c r="DC51" s="33">
        <f>IF(условия!$Q$52=0,0,IF(DC25&gt;условия!$Q$52*(SUM($S$51:DB51)+1),1+INT((DC25-(условия!$Q$52*(SUM($S$51:DB51)+1)))/условия!$Q$52),0))</f>
        <v>0</v>
      </c>
      <c r="DD51" s="33">
        <f>IF(условия!$Q$52=0,0,IF(DD25&gt;условия!$Q$52*(SUM($S$51:DC51)+1),1+INT((DD25-(условия!$Q$52*(SUM($S$51:DC51)+1)))/условия!$Q$52),0))</f>
        <v>0</v>
      </c>
      <c r="DE51" s="33">
        <f>IF(условия!$Q$52=0,0,IF(DE25&gt;условия!$Q$52*(SUM($S$51:DD51)+1),1+INT((DE25-(условия!$Q$52*(SUM($S$51:DD51)+1)))/условия!$Q$52),0))</f>
        <v>0</v>
      </c>
      <c r="DF51" s="33">
        <f>IF(условия!$Q$52=0,0,IF(DF25&gt;условия!$Q$52*(SUM($S$51:DE51)+1),1+INT((DF25-(условия!$Q$52*(SUM($S$51:DE51)+1)))/условия!$Q$52),0))</f>
        <v>0</v>
      </c>
      <c r="DG51" s="33">
        <f>IF(условия!$Q$52=0,0,IF(DG25&gt;условия!$Q$52*(SUM($S$51:DF51)+1),1+INT((DG25-(условия!$Q$52*(SUM($S$51:DF51)+1)))/условия!$Q$52),0))</f>
        <v>0</v>
      </c>
      <c r="DH51" s="33">
        <f>IF(условия!$Q$52=0,0,IF(DH25&gt;условия!$Q$52*(SUM($S$51:DG51)+1),1+INT((DH25-(условия!$Q$52*(SUM($S$51:DG51)+1)))/условия!$Q$52),0))</f>
        <v>0</v>
      </c>
      <c r="DI51" s="33">
        <f>IF(условия!$Q$52=0,0,IF(DI25&gt;условия!$Q$52*(SUM($S$51:DH51)+1),1+INT((DI25-(условия!$Q$52*(SUM($S$51:DH51)+1)))/условия!$Q$52),0))</f>
        <v>0</v>
      </c>
      <c r="DJ51" s="33">
        <f>IF(условия!$Q$52=0,0,IF(DJ25&gt;условия!$Q$52*(SUM($S$51:DI51)+1),1+INT((DJ25-(условия!$Q$52*(SUM($S$51:DI51)+1)))/условия!$Q$52),0))</f>
        <v>1</v>
      </c>
      <c r="DK51" s="33">
        <f>IF(условия!$Q$52=0,0,IF(DK25&gt;условия!$Q$52*(SUM($S$51:DJ51)+1),1+INT((DK25-(условия!$Q$52*(SUM($S$51:DJ51)+1)))/условия!$Q$52),0))</f>
        <v>0</v>
      </c>
      <c r="DL51" s="33">
        <f>IF(условия!$Q$52=0,0,IF(DL25&gt;условия!$Q$52*(SUM($S$51:DK51)+1),1+INT((DL25-(условия!$Q$52*(SUM($S$51:DK51)+1)))/условия!$Q$52),0))</f>
        <v>0</v>
      </c>
      <c r="DM51" s="33">
        <f>IF(условия!$Q$52=0,0,IF(DM25&gt;условия!$Q$52*(SUM($S$51:DL51)+1),1+INT((DM25-(условия!$Q$52*(SUM($S$51:DL51)+1)))/условия!$Q$52),0))</f>
        <v>0</v>
      </c>
      <c r="DN51" s="33">
        <f>IF(условия!$Q$52=0,0,IF(DN25&gt;условия!$Q$52*(SUM($S$51:DM51)+1),1+INT((DN25-(условия!$Q$52*(SUM($S$51:DM51)+1)))/условия!$Q$52),0))</f>
        <v>0</v>
      </c>
      <c r="DO51" s="33">
        <f>IF(условия!$Q$52=0,0,IF(DO25&gt;условия!$Q$52*(SUM($S$51:DN51)+1),1+INT((DO25-(условия!$Q$52*(SUM($S$51:DN51)+1)))/условия!$Q$52),0))</f>
        <v>0</v>
      </c>
      <c r="DP51" s="33">
        <f>IF(условия!$Q$52=0,0,IF(DP25&gt;условия!$Q$52*(SUM($S$51:DO51)+1),1+INT((DP25-(условия!$Q$52*(SUM($S$51:DO51)+1)))/условия!$Q$52),0))</f>
        <v>0</v>
      </c>
      <c r="DQ51" s="33">
        <f>IF(условия!$Q$52=0,0,IF(DQ25&gt;условия!$Q$52*(SUM($S$51:DP51)+1),1+INT((DQ25-(условия!$Q$52*(SUM($S$51:DP51)+1)))/условия!$Q$52),0))</f>
        <v>0</v>
      </c>
      <c r="DR51" s="33">
        <f>IF(условия!$Q$52=0,0,IF(DR25&gt;условия!$Q$52*(SUM($S$51:DQ51)+1),1+INT((DR25-(условия!$Q$52*(SUM($S$51:DQ51)+1)))/условия!$Q$52),0))</f>
        <v>0</v>
      </c>
      <c r="DS51" s="33">
        <f>IF(условия!$Q$52=0,0,IF(DS25&gt;условия!$Q$52*(SUM($S$51:DR51)+1),1+INT((DS25-(условия!$Q$52*(SUM($S$51:DR51)+1)))/условия!$Q$52),0))</f>
        <v>0</v>
      </c>
      <c r="DT51" s="33">
        <f>IF(условия!$Q$52=0,0,IF(DT25&gt;условия!$Q$52*(SUM($S$51:DS51)+1),1+INT((DT25-(условия!$Q$52*(SUM($S$51:DS51)+1)))/условия!$Q$52),0))</f>
        <v>0</v>
      </c>
      <c r="DU51" s="33">
        <f>IF(условия!$Q$52=0,0,IF(DU25&gt;условия!$Q$52*(SUM($S$51:DT51)+1),1+INT((DU25-(условия!$Q$52*(SUM($S$51:DT51)+1)))/условия!$Q$52),0))</f>
        <v>0</v>
      </c>
      <c r="DV51" s="33">
        <f>IF(условия!$Q$52=0,0,IF(DV25&gt;условия!$Q$52*(SUM($S$51:DU51)+1),1+INT((DV25-(условия!$Q$52*(SUM($S$51:DU51)+1)))/условия!$Q$52),0))</f>
        <v>0</v>
      </c>
      <c r="DW51" s="33">
        <f>IF(условия!$Q$52=0,0,IF(DW25&gt;условия!$Q$52*(SUM($S$51:DV51)+1),1+INT((DW25-(условия!$Q$52*(SUM($S$51:DV51)+1)))/условия!$Q$52),0))</f>
        <v>0</v>
      </c>
      <c r="DX51" s="33">
        <f>IF(условия!$Q$52=0,0,IF(DX25&gt;условия!$Q$52*(SUM($S$51:DW51)+1),1+INT((DX25-(условия!$Q$52*(SUM($S$51:DW51)+1)))/условия!$Q$52),0))</f>
        <v>0</v>
      </c>
      <c r="DY51" s="33">
        <f>IF(условия!$Q$52=0,0,IF(DY25&gt;условия!$Q$52*(SUM($S$51:DX51)+1),1+INT((DY25-(условия!$Q$52*(SUM($S$51:DX51)+1)))/условия!$Q$52),0))</f>
        <v>0</v>
      </c>
      <c r="DZ51" s="33">
        <f>IF(условия!$Q$52=0,0,IF(DZ25&gt;условия!$Q$52*(SUM($S$51:DY51)+1),1+INT((DZ25-(условия!$Q$52*(SUM($S$51:DY51)+1)))/условия!$Q$52),0))</f>
        <v>0</v>
      </c>
      <c r="EA51" s="33">
        <f>IF(условия!$Q$52=0,0,IF(EA25&gt;условия!$Q$52*(SUM($S$51:DZ51)+1),1+INT((EA25-(условия!$Q$52*(SUM($S$51:DZ51)+1)))/условия!$Q$52),0))</f>
        <v>0</v>
      </c>
      <c r="EB51" s="33">
        <f>IF(условия!$Q$52=0,0,IF(EB25&gt;условия!$Q$52*(SUM($S$51:EA51)+1),1+INT((EB25-(условия!$Q$52*(SUM($S$51:EA51)+1)))/условия!$Q$52),0))</f>
        <v>0</v>
      </c>
      <c r="EC51" s="33">
        <f>IF(условия!$Q$52=0,0,IF(EC25&gt;условия!$Q$52*(SUM($S$51:EB51)+1),1+INT((EC25-(условия!$Q$52*(SUM($S$51:EB51)+1)))/условия!$Q$52),0))</f>
        <v>0</v>
      </c>
      <c r="ED51" s="33">
        <f>IF(условия!$Q$52=0,0,IF(ED25&gt;условия!$Q$52*(SUM($S$51:EC51)+1),1+INT((ED25-(условия!$Q$52*(SUM($S$51:EC51)+1)))/условия!$Q$52),0))</f>
        <v>0</v>
      </c>
      <c r="EE51" s="33">
        <f>IF(условия!$Q$52=0,0,IF(EE25&gt;условия!$Q$52*(SUM($S$51:ED51)+1),1+INT((EE25-(условия!$Q$52*(SUM($S$51:ED51)+1)))/условия!$Q$52),0))</f>
        <v>0</v>
      </c>
      <c r="EF51" s="33">
        <f>IF(условия!$Q$52=0,0,IF(EF25&gt;условия!$Q$52*(SUM($S$51:EE51)+1),1+INT((EF25-(условия!$Q$52*(SUM($S$51:EE51)+1)))/условия!$Q$52),0))</f>
        <v>0</v>
      </c>
      <c r="EG51" s="33">
        <f>IF(условия!$Q$52=0,0,IF(EG25&gt;условия!$Q$52*(SUM($S$51:EF51)+1),1+INT((EG25-(условия!$Q$52*(SUM($S$51:EF51)+1)))/условия!$Q$52),0))</f>
        <v>0</v>
      </c>
      <c r="EH51" s="33">
        <f>IF(условия!$Q$52=0,0,IF(EH25&gt;условия!$Q$52*(SUM($S$51:EG51)+1),1+INT((EH25-(условия!$Q$52*(SUM($S$51:EG51)+1)))/условия!$Q$52),0))</f>
        <v>0</v>
      </c>
      <c r="EI51" s="33">
        <f>IF(условия!$Q$52=0,0,IF(EI25&gt;условия!$Q$52*(SUM($S$51:EH51)+1),1+INT((EI25-(условия!$Q$52*(SUM($S$51:EH51)+1)))/условия!$Q$52),0))</f>
        <v>0</v>
      </c>
      <c r="EJ51" s="3"/>
      <c r="EK51" s="3"/>
    </row>
    <row r="52" spans="1:14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</row>
    <row r="53" spans="1:141" x14ac:dyDescent="0.25">
      <c r="A53" s="3"/>
      <c r="B53" s="3"/>
      <c r="C53" s="3"/>
      <c r="D53" s="3"/>
      <c r="E53" s="3"/>
      <c r="F53" s="10" t="str">
        <f>KPI!$F$53</f>
        <v>расчет срока ввода в эксплуатацию производства</v>
      </c>
      <c r="G53" s="3"/>
      <c r="H53" s="3"/>
      <c r="I53" s="3"/>
      <c r="J53" s="5" t="str">
        <f>IF($F53="","",INDEX(KPI!$I$11:$I$275,SUMIFS(KPI!$E$11:$E$275,KPI!$F$11:$F$275,$F53)))</f>
        <v>№ мес</v>
      </c>
      <c r="K53" s="3"/>
      <c r="L53" s="3"/>
      <c r="M53" s="3"/>
      <c r="N53" s="3"/>
      <c r="O53" s="3"/>
      <c r="P53" s="3"/>
      <c r="Q53" s="12">
        <f>MAX(S53:EJ53)</f>
        <v>5</v>
      </c>
      <c r="R53" s="3"/>
      <c r="S53" s="3"/>
      <c r="T53" s="33">
        <f>T1*T13</f>
        <v>0</v>
      </c>
      <c r="U53" s="33">
        <f t="shared" ref="U53:CF53" si="33">U1*U13</f>
        <v>0</v>
      </c>
      <c r="V53" s="33">
        <f t="shared" si="33"/>
        <v>3</v>
      </c>
      <c r="W53" s="33">
        <f t="shared" si="33"/>
        <v>0</v>
      </c>
      <c r="X53" s="33">
        <f t="shared" si="33"/>
        <v>5</v>
      </c>
      <c r="Y53" s="33">
        <f t="shared" si="33"/>
        <v>0</v>
      </c>
      <c r="Z53" s="33">
        <f t="shared" si="33"/>
        <v>0</v>
      </c>
      <c r="AA53" s="33">
        <f t="shared" si="33"/>
        <v>0</v>
      </c>
      <c r="AB53" s="33">
        <f t="shared" si="33"/>
        <v>0</v>
      </c>
      <c r="AC53" s="33">
        <f t="shared" si="33"/>
        <v>0</v>
      </c>
      <c r="AD53" s="33">
        <f t="shared" si="33"/>
        <v>0</v>
      </c>
      <c r="AE53" s="33">
        <f t="shared" si="33"/>
        <v>0</v>
      </c>
      <c r="AF53" s="33">
        <f t="shared" si="33"/>
        <v>0</v>
      </c>
      <c r="AG53" s="33">
        <f t="shared" si="33"/>
        <v>0</v>
      </c>
      <c r="AH53" s="33">
        <f t="shared" si="33"/>
        <v>0</v>
      </c>
      <c r="AI53" s="33">
        <f t="shared" si="33"/>
        <v>0</v>
      </c>
      <c r="AJ53" s="33">
        <f t="shared" si="33"/>
        <v>0</v>
      </c>
      <c r="AK53" s="33">
        <f t="shared" si="33"/>
        <v>0</v>
      </c>
      <c r="AL53" s="33">
        <f t="shared" si="33"/>
        <v>0</v>
      </c>
      <c r="AM53" s="33">
        <f t="shared" si="33"/>
        <v>0</v>
      </c>
      <c r="AN53" s="33">
        <f t="shared" si="33"/>
        <v>0</v>
      </c>
      <c r="AO53" s="33">
        <f t="shared" si="33"/>
        <v>0</v>
      </c>
      <c r="AP53" s="33">
        <f t="shared" si="33"/>
        <v>0</v>
      </c>
      <c r="AQ53" s="33">
        <f t="shared" si="33"/>
        <v>0</v>
      </c>
      <c r="AR53" s="33">
        <f t="shared" si="33"/>
        <v>0</v>
      </c>
      <c r="AS53" s="33">
        <f t="shared" si="33"/>
        <v>0</v>
      </c>
      <c r="AT53" s="33">
        <f t="shared" si="33"/>
        <v>0</v>
      </c>
      <c r="AU53" s="33">
        <f t="shared" si="33"/>
        <v>0</v>
      </c>
      <c r="AV53" s="33">
        <f t="shared" si="33"/>
        <v>0</v>
      </c>
      <c r="AW53" s="33">
        <f t="shared" si="33"/>
        <v>0</v>
      </c>
      <c r="AX53" s="33">
        <f t="shared" si="33"/>
        <v>0</v>
      </c>
      <c r="AY53" s="33">
        <f t="shared" si="33"/>
        <v>0</v>
      </c>
      <c r="AZ53" s="33">
        <f t="shared" si="33"/>
        <v>0</v>
      </c>
      <c r="BA53" s="33">
        <f t="shared" si="33"/>
        <v>0</v>
      </c>
      <c r="BB53" s="33">
        <f t="shared" si="33"/>
        <v>0</v>
      </c>
      <c r="BC53" s="33">
        <f t="shared" si="33"/>
        <v>0</v>
      </c>
      <c r="BD53" s="33">
        <f t="shared" si="33"/>
        <v>0</v>
      </c>
      <c r="BE53" s="33">
        <f t="shared" si="33"/>
        <v>0</v>
      </c>
      <c r="BF53" s="33">
        <f t="shared" si="33"/>
        <v>0</v>
      </c>
      <c r="BG53" s="33">
        <f t="shared" si="33"/>
        <v>0</v>
      </c>
      <c r="BH53" s="33">
        <f t="shared" si="33"/>
        <v>0</v>
      </c>
      <c r="BI53" s="33">
        <f t="shared" si="33"/>
        <v>0</v>
      </c>
      <c r="BJ53" s="33">
        <f t="shared" si="33"/>
        <v>0</v>
      </c>
      <c r="BK53" s="33">
        <f t="shared" si="33"/>
        <v>0</v>
      </c>
      <c r="BL53" s="33">
        <f t="shared" si="33"/>
        <v>0</v>
      </c>
      <c r="BM53" s="33">
        <f t="shared" si="33"/>
        <v>0</v>
      </c>
      <c r="BN53" s="33">
        <f t="shared" si="33"/>
        <v>0</v>
      </c>
      <c r="BO53" s="33">
        <f t="shared" si="33"/>
        <v>0</v>
      </c>
      <c r="BP53" s="33">
        <f t="shared" si="33"/>
        <v>0</v>
      </c>
      <c r="BQ53" s="33">
        <f t="shared" si="33"/>
        <v>0</v>
      </c>
      <c r="BR53" s="33">
        <f t="shared" si="33"/>
        <v>0</v>
      </c>
      <c r="BS53" s="33">
        <f t="shared" si="33"/>
        <v>0</v>
      </c>
      <c r="BT53" s="33">
        <f t="shared" si="33"/>
        <v>0</v>
      </c>
      <c r="BU53" s="33">
        <f t="shared" si="33"/>
        <v>0</v>
      </c>
      <c r="BV53" s="33">
        <f t="shared" si="33"/>
        <v>0</v>
      </c>
      <c r="BW53" s="33">
        <f t="shared" si="33"/>
        <v>0</v>
      </c>
      <c r="BX53" s="33">
        <f t="shared" si="33"/>
        <v>0</v>
      </c>
      <c r="BY53" s="33">
        <f t="shared" si="33"/>
        <v>0</v>
      </c>
      <c r="BZ53" s="33">
        <f t="shared" si="33"/>
        <v>0</v>
      </c>
      <c r="CA53" s="33">
        <f t="shared" si="33"/>
        <v>0</v>
      </c>
      <c r="CB53" s="33">
        <f t="shared" si="33"/>
        <v>0</v>
      </c>
      <c r="CC53" s="33">
        <f t="shared" si="33"/>
        <v>0</v>
      </c>
      <c r="CD53" s="33">
        <f t="shared" si="33"/>
        <v>0</v>
      </c>
      <c r="CE53" s="33">
        <f t="shared" si="33"/>
        <v>0</v>
      </c>
      <c r="CF53" s="33">
        <f t="shared" si="33"/>
        <v>0</v>
      </c>
      <c r="CG53" s="33">
        <f t="shared" ref="CG53:EI53" si="34">CG1*CG13</f>
        <v>0</v>
      </c>
      <c r="CH53" s="33">
        <f t="shared" si="34"/>
        <v>0</v>
      </c>
      <c r="CI53" s="33">
        <f t="shared" si="34"/>
        <v>0</v>
      </c>
      <c r="CJ53" s="33">
        <f t="shared" si="34"/>
        <v>0</v>
      </c>
      <c r="CK53" s="33">
        <f t="shared" si="34"/>
        <v>0</v>
      </c>
      <c r="CL53" s="33">
        <f t="shared" si="34"/>
        <v>0</v>
      </c>
      <c r="CM53" s="33">
        <f t="shared" si="34"/>
        <v>0</v>
      </c>
      <c r="CN53" s="33">
        <f t="shared" si="34"/>
        <v>0</v>
      </c>
      <c r="CO53" s="33">
        <f t="shared" si="34"/>
        <v>0</v>
      </c>
      <c r="CP53" s="33">
        <f t="shared" si="34"/>
        <v>0</v>
      </c>
      <c r="CQ53" s="33">
        <f t="shared" si="34"/>
        <v>0</v>
      </c>
      <c r="CR53" s="33">
        <f t="shared" si="34"/>
        <v>0</v>
      </c>
      <c r="CS53" s="33">
        <f t="shared" si="34"/>
        <v>0</v>
      </c>
      <c r="CT53" s="33">
        <f t="shared" si="34"/>
        <v>0</v>
      </c>
      <c r="CU53" s="33">
        <f t="shared" si="34"/>
        <v>0</v>
      </c>
      <c r="CV53" s="33">
        <f t="shared" si="34"/>
        <v>0</v>
      </c>
      <c r="CW53" s="33">
        <f t="shared" si="34"/>
        <v>0</v>
      </c>
      <c r="CX53" s="33">
        <f t="shared" si="34"/>
        <v>0</v>
      </c>
      <c r="CY53" s="33">
        <f t="shared" si="34"/>
        <v>0</v>
      </c>
      <c r="CZ53" s="33">
        <f t="shared" si="34"/>
        <v>0</v>
      </c>
      <c r="DA53" s="33">
        <f t="shared" si="34"/>
        <v>0</v>
      </c>
      <c r="DB53" s="33">
        <f t="shared" si="34"/>
        <v>0</v>
      </c>
      <c r="DC53" s="33">
        <f t="shared" si="34"/>
        <v>0</v>
      </c>
      <c r="DD53" s="33">
        <f t="shared" si="34"/>
        <v>0</v>
      </c>
      <c r="DE53" s="33">
        <f t="shared" si="34"/>
        <v>0</v>
      </c>
      <c r="DF53" s="33">
        <f t="shared" si="34"/>
        <v>0</v>
      </c>
      <c r="DG53" s="33">
        <f t="shared" si="34"/>
        <v>0</v>
      </c>
      <c r="DH53" s="33">
        <f t="shared" si="34"/>
        <v>0</v>
      </c>
      <c r="DI53" s="33">
        <f t="shared" si="34"/>
        <v>0</v>
      </c>
      <c r="DJ53" s="33">
        <f t="shared" si="34"/>
        <v>0</v>
      </c>
      <c r="DK53" s="33">
        <f t="shared" si="34"/>
        <v>0</v>
      </c>
      <c r="DL53" s="33">
        <f t="shared" si="34"/>
        <v>0</v>
      </c>
      <c r="DM53" s="33">
        <f t="shared" si="34"/>
        <v>0</v>
      </c>
      <c r="DN53" s="33">
        <f t="shared" si="34"/>
        <v>0</v>
      </c>
      <c r="DO53" s="33">
        <f t="shared" si="34"/>
        <v>0</v>
      </c>
      <c r="DP53" s="33">
        <f t="shared" si="34"/>
        <v>0</v>
      </c>
      <c r="DQ53" s="33">
        <f t="shared" si="34"/>
        <v>0</v>
      </c>
      <c r="DR53" s="33">
        <f t="shared" si="34"/>
        <v>0</v>
      </c>
      <c r="DS53" s="33">
        <f t="shared" si="34"/>
        <v>0</v>
      </c>
      <c r="DT53" s="33">
        <f t="shared" si="34"/>
        <v>0</v>
      </c>
      <c r="DU53" s="33">
        <f t="shared" si="34"/>
        <v>0</v>
      </c>
      <c r="DV53" s="33">
        <f t="shared" si="34"/>
        <v>0</v>
      </c>
      <c r="DW53" s="33">
        <f t="shared" si="34"/>
        <v>0</v>
      </c>
      <c r="DX53" s="33">
        <f t="shared" si="34"/>
        <v>0</v>
      </c>
      <c r="DY53" s="33">
        <f t="shared" si="34"/>
        <v>0</v>
      </c>
      <c r="DZ53" s="33">
        <f t="shared" si="34"/>
        <v>0</v>
      </c>
      <c r="EA53" s="33">
        <f t="shared" si="34"/>
        <v>0</v>
      </c>
      <c r="EB53" s="33">
        <f t="shared" si="34"/>
        <v>0</v>
      </c>
      <c r="EC53" s="33">
        <f t="shared" si="34"/>
        <v>0</v>
      </c>
      <c r="ED53" s="33">
        <f t="shared" si="34"/>
        <v>0</v>
      </c>
      <c r="EE53" s="33">
        <f t="shared" si="34"/>
        <v>0</v>
      </c>
      <c r="EF53" s="33">
        <f t="shared" si="34"/>
        <v>0</v>
      </c>
      <c r="EG53" s="33">
        <f t="shared" si="34"/>
        <v>0</v>
      </c>
      <c r="EH53" s="33">
        <f t="shared" si="34"/>
        <v>0</v>
      </c>
      <c r="EI53" s="33">
        <f t="shared" si="34"/>
        <v>0</v>
      </c>
      <c r="EJ53" s="3"/>
      <c r="EK53" s="3"/>
    </row>
    <row r="54" spans="1:14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</row>
    <row r="55" spans="1:141" x14ac:dyDescent="0.25">
      <c r="A55" s="3"/>
      <c r="B55" s="3"/>
      <c r="C55" s="3"/>
      <c r="D55" s="3"/>
      <c r="E55" s="3"/>
      <c r="F55" s="10" t="str">
        <f>KPI!$F$54</f>
        <v>начало и %-нт кап. затрат на масштабирование производства</v>
      </c>
      <c r="G55" s="3"/>
      <c r="H55" s="3"/>
      <c r="I55" s="3"/>
      <c r="J55" s="5" t="str">
        <f>IF($F55="","",INDEX(KPI!$I$11:$I$275,SUMIFS(KPI!$E$11:$E$275,KPI!$F$11:$F$275,$F55)))</f>
        <v>%</v>
      </c>
      <c r="K55" s="3"/>
      <c r="L55" s="3"/>
      <c r="M55" s="3"/>
      <c r="N55" s="3"/>
      <c r="O55" s="3"/>
      <c r="P55" s="3"/>
      <c r="Q55" s="45">
        <f>SUM(S55:EJ55)</f>
        <v>1.9813805790606809</v>
      </c>
      <c r="R55" s="3"/>
      <c r="S55" s="3"/>
      <c r="T55" s="41">
        <f>SUMIFS($51:$51,$1:$1,T$1+$Q$53-1)*SUMIFS(условия!$106:$106,условия!$8:$8,"&lt;="&amp;T$9,условия!$9:$9,"&gt;="&amp;T$9)</f>
        <v>0</v>
      </c>
      <c r="U55" s="41">
        <f>SUMIFS($51:$51,$1:$1,U$1+$Q$53-1)*SUMIFS(условия!$106:$106,условия!$8:$8,"&lt;="&amp;U$9,условия!$9:$9,"&gt;="&amp;U$9)</f>
        <v>0</v>
      </c>
      <c r="V55" s="41">
        <f>SUMIFS($51:$51,$1:$1,V$1+$Q$53-1)*SUMIFS(условия!$106:$106,условия!$8:$8,"&lt;="&amp;V$9,условия!$9:$9,"&gt;="&amp;V$9)</f>
        <v>0</v>
      </c>
      <c r="W55" s="41">
        <f>SUMIFS($51:$51,$1:$1,W$1+$Q$53-1)*SUMIFS(условия!$106:$106,условия!$8:$8,"&lt;="&amp;W$9,условия!$9:$9,"&gt;="&amp;W$9)</f>
        <v>0</v>
      </c>
      <c r="X55" s="41">
        <f>SUMIFS($51:$51,$1:$1,X$1+$Q$53-1)*SUMIFS(условия!$106:$106,условия!$8:$8,"&lt;="&amp;X$9,условия!$9:$9,"&gt;="&amp;X$9)</f>
        <v>0</v>
      </c>
      <c r="Y55" s="41">
        <f>SUMIFS($51:$51,$1:$1,Y$1+$Q$53-1)*SUMIFS(условия!$106:$106,условия!$8:$8,"&lt;="&amp;Y$9,условия!$9:$9,"&gt;="&amp;Y$9)</f>
        <v>0</v>
      </c>
      <c r="Z55" s="41">
        <f>SUMIFS($51:$51,$1:$1,Z$1+$Q$53-1)*SUMIFS(условия!$106:$106,условия!$8:$8,"&lt;="&amp;Z$9,условия!$9:$9,"&gt;="&amp;Z$9)</f>
        <v>0</v>
      </c>
      <c r="AA55" s="41">
        <f>SUMIFS($51:$51,$1:$1,AA$1+$Q$53-1)*SUMIFS(условия!$106:$106,условия!$8:$8,"&lt;="&amp;AA$9,условия!$9:$9,"&gt;="&amp;AA$9)</f>
        <v>0</v>
      </c>
      <c r="AB55" s="41">
        <f>SUMIFS($51:$51,$1:$1,AB$1+$Q$53-1)*SUMIFS(условия!$106:$106,условия!$8:$8,"&lt;="&amp;AB$9,условия!$9:$9,"&gt;="&amp;AB$9)</f>
        <v>0</v>
      </c>
      <c r="AC55" s="41">
        <f>SUMIFS($51:$51,$1:$1,AC$1+$Q$53-1)*SUMIFS(условия!$106:$106,условия!$8:$8,"&lt;="&amp;AC$9,условия!$9:$9,"&gt;="&amp;AC$9)</f>
        <v>0</v>
      </c>
      <c r="AD55" s="41">
        <f>SUMIFS($51:$51,$1:$1,AD$1+$Q$53-1)*SUMIFS(условия!$106:$106,условия!$8:$8,"&lt;="&amp;AD$9,условия!$9:$9,"&gt;="&amp;AD$9)</f>
        <v>0</v>
      </c>
      <c r="AE55" s="41">
        <f>SUMIFS($51:$51,$1:$1,AE$1+$Q$53-1)*SUMIFS(условия!$106:$106,условия!$8:$8,"&lt;="&amp;AE$9,условия!$9:$9,"&gt;="&amp;AE$9)</f>
        <v>0</v>
      </c>
      <c r="AF55" s="41">
        <f>SUMIFS($51:$51,$1:$1,AF$1+$Q$53-1)*SUMIFS(условия!$106:$106,условия!$8:$8,"&lt;="&amp;AF$9,условия!$9:$9,"&gt;="&amp;AF$9)</f>
        <v>0</v>
      </c>
      <c r="AG55" s="41">
        <f>SUMIFS($51:$51,$1:$1,AG$1+$Q$53-1)*SUMIFS(условия!$106:$106,условия!$8:$8,"&lt;="&amp;AG$9,условия!$9:$9,"&gt;="&amp;AG$9)</f>
        <v>0</v>
      </c>
      <c r="AH55" s="41">
        <f>SUMIFS($51:$51,$1:$1,AH$1+$Q$53-1)*SUMIFS(условия!$106:$106,условия!$8:$8,"&lt;="&amp;AH$9,условия!$9:$9,"&gt;="&amp;AH$9)</f>
        <v>0</v>
      </c>
      <c r="AI55" s="41">
        <f>SUMIFS($51:$51,$1:$1,AI$1+$Q$53-1)*SUMIFS(условия!$106:$106,условия!$8:$8,"&lt;="&amp;AI$9,условия!$9:$9,"&gt;="&amp;AI$9)</f>
        <v>0</v>
      </c>
      <c r="AJ55" s="41">
        <f>SUMIFS($51:$51,$1:$1,AJ$1+$Q$53-1)*SUMIFS(условия!$106:$106,условия!$8:$8,"&lt;="&amp;AJ$9,условия!$9:$9,"&gt;="&amp;AJ$9)</f>
        <v>0</v>
      </c>
      <c r="AK55" s="41">
        <f>SUMIFS($51:$51,$1:$1,AK$1+$Q$53-1)*SUMIFS(условия!$106:$106,условия!$8:$8,"&lt;="&amp;AK$9,условия!$9:$9,"&gt;="&amp;AK$9)</f>
        <v>0</v>
      </c>
      <c r="AL55" s="41">
        <f>SUMIFS($51:$51,$1:$1,AL$1+$Q$53-1)*SUMIFS(условия!$106:$106,условия!$8:$8,"&lt;="&amp;AL$9,условия!$9:$9,"&gt;="&amp;AL$9)</f>
        <v>0</v>
      </c>
      <c r="AM55" s="41">
        <f>SUMIFS($51:$51,$1:$1,AM$1+$Q$53-1)*SUMIFS(условия!$106:$106,условия!$8:$8,"&lt;="&amp;AM$9,условия!$9:$9,"&gt;="&amp;AM$9)</f>
        <v>0</v>
      </c>
      <c r="AN55" s="41">
        <f>SUMIFS($51:$51,$1:$1,AN$1+$Q$53-1)*SUMIFS(условия!$106:$106,условия!$8:$8,"&lt;="&amp;AN$9,условия!$9:$9,"&gt;="&amp;AN$9)</f>
        <v>0</v>
      </c>
      <c r="AO55" s="41">
        <f>SUMIFS($51:$51,$1:$1,AO$1+$Q$53-1)*SUMIFS(условия!$106:$106,условия!$8:$8,"&lt;="&amp;AO$9,условия!$9:$9,"&gt;="&amp;AO$9)</f>
        <v>0</v>
      </c>
      <c r="AP55" s="41">
        <f>SUMIFS($51:$51,$1:$1,AP$1+$Q$53-1)*SUMIFS(условия!$106:$106,условия!$8:$8,"&lt;="&amp;AP$9,условия!$9:$9,"&gt;="&amp;AP$9)</f>
        <v>0</v>
      </c>
      <c r="AQ55" s="41">
        <f>SUMIFS($51:$51,$1:$1,AQ$1+$Q$53-1)*SUMIFS(условия!$106:$106,условия!$8:$8,"&lt;="&amp;AQ$9,условия!$9:$9,"&gt;="&amp;AQ$9)</f>
        <v>0</v>
      </c>
      <c r="AR55" s="41">
        <f>SUMIFS($51:$51,$1:$1,AR$1+$Q$53-1)*SUMIFS(условия!$106:$106,условия!$8:$8,"&lt;="&amp;AR$9,условия!$9:$9,"&gt;="&amp;AR$9)</f>
        <v>0</v>
      </c>
      <c r="AS55" s="41">
        <f>SUMIFS($51:$51,$1:$1,AS$1+$Q$53-1)*SUMIFS(условия!$106:$106,условия!$8:$8,"&lt;="&amp;AS$9,условия!$9:$9,"&gt;="&amp;AS$9)</f>
        <v>0</v>
      </c>
      <c r="AT55" s="41">
        <f>SUMIFS($51:$51,$1:$1,AT$1+$Q$53-1)*SUMIFS(условия!$106:$106,условия!$8:$8,"&lt;="&amp;AT$9,условия!$9:$9,"&gt;="&amp;AT$9)</f>
        <v>0</v>
      </c>
      <c r="AU55" s="41">
        <f>SUMIFS($51:$51,$1:$1,AU$1+$Q$53-1)*SUMIFS(условия!$106:$106,условия!$8:$8,"&lt;="&amp;AU$9,условия!$9:$9,"&gt;="&amp;AU$9)</f>
        <v>0</v>
      </c>
      <c r="AV55" s="41">
        <f>SUMIFS($51:$51,$1:$1,AV$1+$Q$53-1)*SUMIFS(условия!$106:$106,условия!$8:$8,"&lt;="&amp;AV$9,условия!$9:$9,"&gt;="&amp;AV$9)</f>
        <v>0</v>
      </c>
      <c r="AW55" s="41">
        <f>SUMIFS($51:$51,$1:$1,AW$1+$Q$53-1)*SUMIFS(условия!$106:$106,условия!$8:$8,"&lt;="&amp;AW$9,условия!$9:$9,"&gt;="&amp;AW$9)</f>
        <v>0</v>
      </c>
      <c r="AX55" s="41">
        <f>SUMIFS($51:$51,$1:$1,AX$1+$Q$53-1)*SUMIFS(условия!$106:$106,условия!$8:$8,"&lt;="&amp;AX$9,условия!$9:$9,"&gt;="&amp;AX$9)</f>
        <v>0</v>
      </c>
      <c r="AY55" s="41">
        <f>SUMIFS($51:$51,$1:$1,AY$1+$Q$53-1)*SUMIFS(условия!$106:$106,условия!$8:$8,"&lt;="&amp;AY$9,условия!$9:$9,"&gt;="&amp;AY$9)</f>
        <v>0</v>
      </c>
      <c r="AZ55" s="41">
        <f>SUMIFS($51:$51,$1:$1,AZ$1+$Q$53-1)*SUMIFS(условия!$106:$106,условия!$8:$8,"&lt;="&amp;AZ$9,условия!$9:$9,"&gt;="&amp;AZ$9)</f>
        <v>0</v>
      </c>
      <c r="BA55" s="41">
        <f>SUMIFS($51:$51,$1:$1,BA$1+$Q$53-1)*SUMIFS(условия!$106:$106,условия!$8:$8,"&lt;="&amp;BA$9,условия!$9:$9,"&gt;="&amp;BA$9)</f>
        <v>0</v>
      </c>
      <c r="BB55" s="41">
        <f>SUMIFS($51:$51,$1:$1,BB$1+$Q$53-1)*SUMIFS(условия!$106:$106,условия!$8:$8,"&lt;="&amp;BB$9,условия!$9:$9,"&gt;="&amp;BB$9)</f>
        <v>0</v>
      </c>
      <c r="BC55" s="41">
        <f>SUMIFS($51:$51,$1:$1,BC$1+$Q$53-1)*SUMIFS(условия!$106:$106,условия!$8:$8,"&lt;="&amp;BC$9,условия!$9:$9,"&gt;="&amp;BC$9)</f>
        <v>0</v>
      </c>
      <c r="BD55" s="41">
        <f>SUMIFS($51:$51,$1:$1,BD$1+$Q$53-1)*SUMIFS(условия!$106:$106,условия!$8:$8,"&lt;="&amp;BD$9,условия!$9:$9,"&gt;="&amp;BD$9)</f>
        <v>0</v>
      </c>
      <c r="BE55" s="41">
        <f>SUMIFS($51:$51,$1:$1,BE$1+$Q$53-1)*SUMIFS(условия!$106:$106,условия!$8:$8,"&lt;="&amp;BE$9,условия!$9:$9,"&gt;="&amp;BE$9)</f>
        <v>0</v>
      </c>
      <c r="BF55" s="41">
        <f>SUMIFS($51:$51,$1:$1,BF$1+$Q$53-1)*SUMIFS(условия!$106:$106,условия!$8:$8,"&lt;="&amp;BF$9,условия!$9:$9,"&gt;="&amp;BF$9)</f>
        <v>0</v>
      </c>
      <c r="BG55" s="41">
        <f>SUMIFS($51:$51,$1:$1,BG$1+$Q$53-1)*SUMIFS(условия!$106:$106,условия!$8:$8,"&lt;="&amp;BG$9,условия!$9:$9,"&gt;="&amp;BG$9)</f>
        <v>0</v>
      </c>
      <c r="BH55" s="41">
        <f>SUMIFS($51:$51,$1:$1,BH$1+$Q$53-1)*SUMIFS(условия!$106:$106,условия!$8:$8,"&lt;="&amp;BH$9,условия!$9:$9,"&gt;="&amp;BH$9)</f>
        <v>0</v>
      </c>
      <c r="BI55" s="41">
        <f>SUMIFS($51:$51,$1:$1,BI$1+$Q$53-1)*SUMIFS(условия!$106:$106,условия!$8:$8,"&lt;="&amp;BI$9,условия!$9:$9,"&gt;="&amp;BI$9)</f>
        <v>0</v>
      </c>
      <c r="BJ55" s="41">
        <f>SUMIFS($51:$51,$1:$1,BJ$1+$Q$53-1)*SUMIFS(условия!$106:$106,условия!$8:$8,"&lt;="&amp;BJ$9,условия!$9:$9,"&gt;="&amp;BJ$9)</f>
        <v>0</v>
      </c>
      <c r="BK55" s="41">
        <f>SUMIFS($51:$51,$1:$1,BK$1+$Q$53-1)*SUMIFS(условия!$106:$106,условия!$8:$8,"&lt;="&amp;BK$9,условия!$9:$9,"&gt;="&amp;BK$9)</f>
        <v>0</v>
      </c>
      <c r="BL55" s="41">
        <f>SUMIFS($51:$51,$1:$1,BL$1+$Q$53-1)*SUMIFS(условия!$106:$106,условия!$8:$8,"&lt;="&amp;BL$9,условия!$9:$9,"&gt;="&amp;BL$9)</f>
        <v>0</v>
      </c>
      <c r="BM55" s="41">
        <f>SUMIFS($51:$51,$1:$1,BM$1+$Q$53-1)*SUMIFS(условия!$106:$106,условия!$8:$8,"&lt;="&amp;BM$9,условия!$9:$9,"&gt;="&amp;BM$9)</f>
        <v>0</v>
      </c>
      <c r="BN55" s="41">
        <f>SUMIFS($51:$51,$1:$1,BN$1+$Q$53-1)*SUMIFS(условия!$106:$106,условия!$8:$8,"&lt;="&amp;BN$9,условия!$9:$9,"&gt;="&amp;BN$9)</f>
        <v>0</v>
      </c>
      <c r="BO55" s="41">
        <f>SUMIFS($51:$51,$1:$1,BO$1+$Q$53-1)*SUMIFS(условия!$106:$106,условия!$8:$8,"&lt;="&amp;BO$9,условия!$9:$9,"&gt;="&amp;BO$9)</f>
        <v>0</v>
      </c>
      <c r="BP55" s="41">
        <f>SUMIFS($51:$51,$1:$1,BP$1+$Q$53-1)*SUMIFS(условия!$106:$106,условия!$8:$8,"&lt;="&amp;BP$9,условия!$9:$9,"&gt;="&amp;BP$9)</f>
        <v>0</v>
      </c>
      <c r="BQ55" s="41">
        <f>SUMIFS($51:$51,$1:$1,BQ$1+$Q$53-1)*SUMIFS(условия!$106:$106,условия!$8:$8,"&lt;="&amp;BQ$9,условия!$9:$9,"&gt;="&amp;BQ$9)</f>
        <v>0</v>
      </c>
      <c r="BR55" s="41">
        <f>SUMIFS($51:$51,$1:$1,BR$1+$Q$53-1)*SUMIFS(условия!$106:$106,условия!$8:$8,"&lt;="&amp;BR$9,условия!$9:$9,"&gt;="&amp;BR$9)</f>
        <v>0</v>
      </c>
      <c r="BS55" s="41">
        <f>SUMIFS($51:$51,$1:$1,BS$1+$Q$53-1)*SUMIFS(условия!$106:$106,условия!$8:$8,"&lt;="&amp;BS$9,условия!$9:$9,"&gt;="&amp;BS$9)</f>
        <v>0</v>
      </c>
      <c r="BT55" s="41">
        <f>SUMIFS($51:$51,$1:$1,BT$1+$Q$53-1)*SUMIFS(условия!$106:$106,условия!$8:$8,"&lt;="&amp;BT$9,условия!$9:$9,"&gt;="&amp;BT$9)</f>
        <v>0</v>
      </c>
      <c r="BU55" s="41">
        <f>SUMIFS($51:$51,$1:$1,BU$1+$Q$53-1)*SUMIFS(условия!$106:$106,условия!$8:$8,"&lt;="&amp;BU$9,условия!$9:$9,"&gt;="&amp;BU$9)</f>
        <v>0.90898190600000028</v>
      </c>
      <c r="BV55" s="41">
        <f>SUMIFS($51:$51,$1:$1,BV$1+$Q$53-1)*SUMIFS(условия!$106:$106,условия!$8:$8,"&lt;="&amp;BV$9,условия!$9:$9,"&gt;="&amp;BV$9)</f>
        <v>0</v>
      </c>
      <c r="BW55" s="41">
        <f>SUMIFS($51:$51,$1:$1,BW$1+$Q$53-1)*SUMIFS(условия!$106:$106,условия!$8:$8,"&lt;="&amp;BW$9,условия!$9:$9,"&gt;="&amp;BW$9)</f>
        <v>0</v>
      </c>
      <c r="BX55" s="41">
        <f>SUMIFS($51:$51,$1:$1,BX$1+$Q$53-1)*SUMIFS(условия!$106:$106,условия!$8:$8,"&lt;="&amp;BX$9,условия!$9:$9,"&gt;="&amp;BX$9)</f>
        <v>0</v>
      </c>
      <c r="BY55" s="41">
        <f>SUMIFS($51:$51,$1:$1,BY$1+$Q$53-1)*SUMIFS(условия!$106:$106,условия!$8:$8,"&lt;="&amp;BY$9,условия!$9:$9,"&gt;="&amp;BY$9)</f>
        <v>0</v>
      </c>
      <c r="BZ55" s="41">
        <f>SUMIFS($51:$51,$1:$1,BZ$1+$Q$53-1)*SUMIFS(условия!$106:$106,условия!$8:$8,"&lt;="&amp;BZ$9,условия!$9:$9,"&gt;="&amp;BZ$9)</f>
        <v>0</v>
      </c>
      <c r="CA55" s="41">
        <f>SUMIFS($51:$51,$1:$1,CA$1+$Q$53-1)*SUMIFS(условия!$106:$106,условия!$8:$8,"&lt;="&amp;CA$9,условия!$9:$9,"&gt;="&amp;CA$9)</f>
        <v>0</v>
      </c>
      <c r="CB55" s="41">
        <f>SUMIFS($51:$51,$1:$1,CB$1+$Q$53-1)*SUMIFS(условия!$106:$106,условия!$8:$8,"&lt;="&amp;CB$9,условия!$9:$9,"&gt;="&amp;CB$9)</f>
        <v>0</v>
      </c>
      <c r="CC55" s="41">
        <f>SUMIFS($51:$51,$1:$1,CC$1+$Q$53-1)*SUMIFS(условия!$106:$106,условия!$8:$8,"&lt;="&amp;CC$9,условия!$9:$9,"&gt;="&amp;CC$9)</f>
        <v>0</v>
      </c>
      <c r="CD55" s="41">
        <f>SUMIFS($51:$51,$1:$1,CD$1+$Q$53-1)*SUMIFS(условия!$106:$106,условия!$8:$8,"&lt;="&amp;CD$9,условия!$9:$9,"&gt;="&amp;CD$9)</f>
        <v>0</v>
      </c>
      <c r="CE55" s="41">
        <f>SUMIFS($51:$51,$1:$1,CE$1+$Q$53-1)*SUMIFS(условия!$106:$106,условия!$8:$8,"&lt;="&amp;CE$9,условия!$9:$9,"&gt;="&amp;CE$9)</f>
        <v>0</v>
      </c>
      <c r="CF55" s="41">
        <f>SUMIFS($51:$51,$1:$1,CF$1+$Q$53-1)*SUMIFS(условия!$106:$106,условия!$8:$8,"&lt;="&amp;CF$9,условия!$9:$9,"&gt;="&amp;CF$9)</f>
        <v>0</v>
      </c>
      <c r="CG55" s="41">
        <f>SUMIFS($51:$51,$1:$1,CG$1+$Q$53-1)*SUMIFS(условия!$106:$106,условия!$8:$8,"&lt;="&amp;CG$9,условия!$9:$9,"&gt;="&amp;CG$9)</f>
        <v>0</v>
      </c>
      <c r="CH55" s="41">
        <f>SUMIFS($51:$51,$1:$1,CH$1+$Q$53-1)*SUMIFS(условия!$106:$106,условия!$8:$8,"&lt;="&amp;CH$9,условия!$9:$9,"&gt;="&amp;CH$9)</f>
        <v>0</v>
      </c>
      <c r="CI55" s="41">
        <f>SUMIFS($51:$51,$1:$1,CI$1+$Q$53-1)*SUMIFS(условия!$106:$106,условия!$8:$8,"&lt;="&amp;CI$9,условия!$9:$9,"&gt;="&amp;CI$9)</f>
        <v>0</v>
      </c>
      <c r="CJ55" s="41">
        <f>SUMIFS($51:$51,$1:$1,CJ$1+$Q$53-1)*SUMIFS(условия!$106:$106,условия!$8:$8,"&lt;="&amp;CJ$9,условия!$9:$9,"&gt;="&amp;CJ$9)</f>
        <v>0</v>
      </c>
      <c r="CK55" s="41">
        <f>SUMIFS($51:$51,$1:$1,CK$1+$Q$53-1)*SUMIFS(условия!$106:$106,условия!$8:$8,"&lt;="&amp;CK$9,условия!$9:$9,"&gt;="&amp;CK$9)</f>
        <v>0</v>
      </c>
      <c r="CL55" s="41">
        <f>SUMIFS($51:$51,$1:$1,CL$1+$Q$53-1)*SUMIFS(условия!$106:$106,условия!$8:$8,"&lt;="&amp;CL$9,условия!$9:$9,"&gt;="&amp;CL$9)</f>
        <v>0</v>
      </c>
      <c r="CM55" s="41">
        <f>SUMIFS($51:$51,$1:$1,CM$1+$Q$53-1)*SUMIFS(условия!$106:$106,условия!$8:$8,"&lt;="&amp;CM$9,условия!$9:$9,"&gt;="&amp;CM$9)</f>
        <v>0</v>
      </c>
      <c r="CN55" s="41">
        <f>SUMIFS($51:$51,$1:$1,CN$1+$Q$53-1)*SUMIFS(условия!$106:$106,условия!$8:$8,"&lt;="&amp;CN$9,условия!$9:$9,"&gt;="&amp;CN$9)</f>
        <v>0</v>
      </c>
      <c r="CO55" s="41">
        <f>SUMIFS($51:$51,$1:$1,CO$1+$Q$53-1)*SUMIFS(условия!$106:$106,условия!$8:$8,"&lt;="&amp;CO$9,условия!$9:$9,"&gt;="&amp;CO$9)</f>
        <v>0</v>
      </c>
      <c r="CP55" s="41">
        <f>SUMIFS($51:$51,$1:$1,CP$1+$Q$53-1)*SUMIFS(условия!$106:$106,условия!$8:$8,"&lt;="&amp;CP$9,условия!$9:$9,"&gt;="&amp;CP$9)</f>
        <v>0</v>
      </c>
      <c r="CQ55" s="41">
        <f>SUMIFS($51:$51,$1:$1,CQ$1+$Q$53-1)*SUMIFS(условия!$106:$106,условия!$8:$8,"&lt;="&amp;CQ$9,условия!$9:$9,"&gt;="&amp;CQ$9)</f>
        <v>0</v>
      </c>
      <c r="CR55" s="41">
        <f>SUMIFS($51:$51,$1:$1,CR$1+$Q$53-1)*SUMIFS(условия!$106:$106,условия!$8:$8,"&lt;="&amp;CR$9,условия!$9:$9,"&gt;="&amp;CR$9)</f>
        <v>0</v>
      </c>
      <c r="CS55" s="41">
        <f>SUMIFS($51:$51,$1:$1,CS$1+$Q$53-1)*SUMIFS(условия!$106:$106,условия!$8:$8,"&lt;="&amp;CS$9,условия!$9:$9,"&gt;="&amp;CS$9)</f>
        <v>0</v>
      </c>
      <c r="CT55" s="41">
        <f>SUMIFS($51:$51,$1:$1,CT$1+$Q$53-1)*SUMIFS(условия!$106:$106,условия!$8:$8,"&lt;="&amp;CT$9,условия!$9:$9,"&gt;="&amp;CT$9)</f>
        <v>0</v>
      </c>
      <c r="CU55" s="41">
        <f>SUMIFS($51:$51,$1:$1,CU$1+$Q$53-1)*SUMIFS(условия!$106:$106,условия!$8:$8,"&lt;="&amp;CU$9,условия!$9:$9,"&gt;="&amp;CU$9)</f>
        <v>0</v>
      </c>
      <c r="CV55" s="41">
        <f>SUMIFS($51:$51,$1:$1,CV$1+$Q$53-1)*SUMIFS(условия!$106:$106,условия!$8:$8,"&lt;="&amp;CV$9,условия!$9:$9,"&gt;="&amp;CV$9)</f>
        <v>0</v>
      </c>
      <c r="CW55" s="41">
        <f>SUMIFS($51:$51,$1:$1,CW$1+$Q$53-1)*SUMIFS(условия!$106:$106,условия!$8:$8,"&lt;="&amp;CW$9,условия!$9:$9,"&gt;="&amp;CW$9)</f>
        <v>0</v>
      </c>
      <c r="CX55" s="41">
        <f>SUMIFS($51:$51,$1:$1,CX$1+$Q$53-1)*SUMIFS(условия!$106:$106,условия!$8:$8,"&lt;="&amp;CX$9,условия!$9:$9,"&gt;="&amp;CX$9)</f>
        <v>0</v>
      </c>
      <c r="CY55" s="41">
        <f>SUMIFS($51:$51,$1:$1,CY$1+$Q$53-1)*SUMIFS(условия!$106:$106,условия!$8:$8,"&lt;="&amp;CY$9,условия!$9:$9,"&gt;="&amp;CY$9)</f>
        <v>0</v>
      </c>
      <c r="CZ55" s="41">
        <f>SUMIFS($51:$51,$1:$1,CZ$1+$Q$53-1)*SUMIFS(условия!$106:$106,условия!$8:$8,"&lt;="&amp;CZ$9,условия!$9:$9,"&gt;="&amp;CZ$9)</f>
        <v>0</v>
      </c>
      <c r="DA55" s="41">
        <f>SUMIFS($51:$51,$1:$1,DA$1+$Q$53-1)*SUMIFS(условия!$106:$106,условия!$8:$8,"&lt;="&amp;DA$9,условия!$9:$9,"&gt;="&amp;DA$9)</f>
        <v>0</v>
      </c>
      <c r="DB55" s="41">
        <f>SUMIFS($51:$51,$1:$1,DB$1+$Q$53-1)*SUMIFS(условия!$106:$106,условия!$8:$8,"&lt;="&amp;DB$9,условия!$9:$9,"&gt;="&amp;DB$9)</f>
        <v>0</v>
      </c>
      <c r="DC55" s="41">
        <f>SUMIFS($51:$51,$1:$1,DC$1+$Q$53-1)*SUMIFS(условия!$106:$106,условия!$8:$8,"&lt;="&amp;DC$9,условия!$9:$9,"&gt;="&amp;DC$9)</f>
        <v>0</v>
      </c>
      <c r="DD55" s="41">
        <f>SUMIFS($51:$51,$1:$1,DD$1+$Q$53-1)*SUMIFS(условия!$106:$106,условия!$8:$8,"&lt;="&amp;DD$9,условия!$9:$9,"&gt;="&amp;DD$9)</f>
        <v>0</v>
      </c>
      <c r="DE55" s="41">
        <f>SUMIFS($51:$51,$1:$1,DE$1+$Q$53-1)*SUMIFS(условия!$106:$106,условия!$8:$8,"&lt;="&amp;DE$9,условия!$9:$9,"&gt;="&amp;DE$9)</f>
        <v>0</v>
      </c>
      <c r="DF55" s="41">
        <f>SUMIFS($51:$51,$1:$1,DF$1+$Q$53-1)*SUMIFS(условия!$106:$106,условия!$8:$8,"&lt;="&amp;DF$9,условия!$9:$9,"&gt;="&amp;DF$9)</f>
        <v>1.0723986730606805</v>
      </c>
      <c r="DG55" s="41">
        <f>SUMIFS($51:$51,$1:$1,DG$1+$Q$53-1)*SUMIFS(условия!$106:$106,условия!$8:$8,"&lt;="&amp;DG$9,условия!$9:$9,"&gt;="&amp;DG$9)</f>
        <v>0</v>
      </c>
      <c r="DH55" s="41">
        <f>SUMIFS($51:$51,$1:$1,DH$1+$Q$53-1)*SUMIFS(условия!$106:$106,условия!$8:$8,"&lt;="&amp;DH$9,условия!$9:$9,"&gt;="&amp;DH$9)</f>
        <v>0</v>
      </c>
      <c r="DI55" s="41">
        <f>SUMIFS($51:$51,$1:$1,DI$1+$Q$53-1)*SUMIFS(условия!$106:$106,условия!$8:$8,"&lt;="&amp;DI$9,условия!$9:$9,"&gt;="&amp;DI$9)</f>
        <v>0</v>
      </c>
      <c r="DJ55" s="41">
        <f>SUMIFS($51:$51,$1:$1,DJ$1+$Q$53-1)*SUMIFS(условия!$106:$106,условия!$8:$8,"&lt;="&amp;DJ$9,условия!$9:$9,"&gt;="&amp;DJ$9)</f>
        <v>0</v>
      </c>
      <c r="DK55" s="41">
        <f>SUMIFS($51:$51,$1:$1,DK$1+$Q$53-1)*SUMIFS(условия!$106:$106,условия!$8:$8,"&lt;="&amp;DK$9,условия!$9:$9,"&gt;="&amp;DK$9)</f>
        <v>0</v>
      </c>
      <c r="DL55" s="41">
        <f>SUMIFS($51:$51,$1:$1,DL$1+$Q$53-1)*SUMIFS(условия!$106:$106,условия!$8:$8,"&lt;="&amp;DL$9,условия!$9:$9,"&gt;="&amp;DL$9)</f>
        <v>0</v>
      </c>
      <c r="DM55" s="41">
        <f>SUMIFS($51:$51,$1:$1,DM$1+$Q$53-1)*SUMIFS(условия!$106:$106,условия!$8:$8,"&lt;="&amp;DM$9,условия!$9:$9,"&gt;="&amp;DM$9)</f>
        <v>0</v>
      </c>
      <c r="DN55" s="41">
        <f>SUMIFS($51:$51,$1:$1,DN$1+$Q$53-1)*SUMIFS(условия!$106:$106,условия!$8:$8,"&lt;="&amp;DN$9,условия!$9:$9,"&gt;="&amp;DN$9)</f>
        <v>0</v>
      </c>
      <c r="DO55" s="41">
        <f>SUMIFS($51:$51,$1:$1,DO$1+$Q$53-1)*SUMIFS(условия!$106:$106,условия!$8:$8,"&lt;="&amp;DO$9,условия!$9:$9,"&gt;="&amp;DO$9)</f>
        <v>0</v>
      </c>
      <c r="DP55" s="41">
        <f>SUMIFS($51:$51,$1:$1,DP$1+$Q$53-1)*SUMIFS(условия!$106:$106,условия!$8:$8,"&lt;="&amp;DP$9,условия!$9:$9,"&gt;="&amp;DP$9)</f>
        <v>0</v>
      </c>
      <c r="DQ55" s="41">
        <f>SUMIFS($51:$51,$1:$1,DQ$1+$Q$53-1)*SUMIFS(условия!$106:$106,условия!$8:$8,"&lt;="&amp;DQ$9,условия!$9:$9,"&gt;="&amp;DQ$9)</f>
        <v>0</v>
      </c>
      <c r="DR55" s="41">
        <f>SUMIFS($51:$51,$1:$1,DR$1+$Q$53-1)*SUMIFS(условия!$106:$106,условия!$8:$8,"&lt;="&amp;DR$9,условия!$9:$9,"&gt;="&amp;DR$9)</f>
        <v>0</v>
      </c>
      <c r="DS55" s="41">
        <f>SUMIFS($51:$51,$1:$1,DS$1+$Q$53-1)*SUMIFS(условия!$106:$106,условия!$8:$8,"&lt;="&amp;DS$9,условия!$9:$9,"&gt;="&amp;DS$9)</f>
        <v>0</v>
      </c>
      <c r="DT55" s="41">
        <f>SUMIFS($51:$51,$1:$1,DT$1+$Q$53-1)*SUMIFS(условия!$106:$106,условия!$8:$8,"&lt;="&amp;DT$9,условия!$9:$9,"&gt;="&amp;DT$9)</f>
        <v>0</v>
      </c>
      <c r="DU55" s="41">
        <f>SUMIFS($51:$51,$1:$1,DU$1+$Q$53-1)*SUMIFS(условия!$106:$106,условия!$8:$8,"&lt;="&amp;DU$9,условия!$9:$9,"&gt;="&amp;DU$9)</f>
        <v>0</v>
      </c>
      <c r="DV55" s="41">
        <f>SUMIFS($51:$51,$1:$1,DV$1+$Q$53-1)*SUMIFS(условия!$106:$106,условия!$8:$8,"&lt;="&amp;DV$9,условия!$9:$9,"&gt;="&amp;DV$9)</f>
        <v>0</v>
      </c>
      <c r="DW55" s="41">
        <f>SUMIFS($51:$51,$1:$1,DW$1+$Q$53-1)*SUMIFS(условия!$106:$106,условия!$8:$8,"&lt;="&amp;DW$9,условия!$9:$9,"&gt;="&amp;DW$9)</f>
        <v>0</v>
      </c>
      <c r="DX55" s="41">
        <f>SUMIFS($51:$51,$1:$1,DX$1+$Q$53-1)*SUMIFS(условия!$106:$106,условия!$8:$8,"&lt;="&amp;DX$9,условия!$9:$9,"&gt;="&amp;DX$9)</f>
        <v>0</v>
      </c>
      <c r="DY55" s="41">
        <f>SUMIFS($51:$51,$1:$1,DY$1+$Q$53-1)*SUMIFS(условия!$106:$106,условия!$8:$8,"&lt;="&amp;DY$9,условия!$9:$9,"&gt;="&amp;DY$9)</f>
        <v>0</v>
      </c>
      <c r="DZ55" s="41">
        <f>SUMIFS($51:$51,$1:$1,DZ$1+$Q$53-1)*SUMIFS(условия!$106:$106,условия!$8:$8,"&lt;="&amp;DZ$9,условия!$9:$9,"&gt;="&amp;DZ$9)</f>
        <v>0</v>
      </c>
      <c r="EA55" s="41">
        <f>SUMIFS($51:$51,$1:$1,EA$1+$Q$53-1)*SUMIFS(условия!$106:$106,условия!$8:$8,"&lt;="&amp;EA$9,условия!$9:$9,"&gt;="&amp;EA$9)</f>
        <v>0</v>
      </c>
      <c r="EB55" s="41">
        <f>SUMIFS($51:$51,$1:$1,EB$1+$Q$53-1)*SUMIFS(условия!$106:$106,условия!$8:$8,"&lt;="&amp;EB$9,условия!$9:$9,"&gt;="&amp;EB$9)</f>
        <v>0</v>
      </c>
      <c r="EC55" s="41">
        <f>SUMIFS($51:$51,$1:$1,EC$1+$Q$53-1)*SUMIFS(условия!$106:$106,условия!$8:$8,"&lt;="&amp;EC$9,условия!$9:$9,"&gt;="&amp;EC$9)</f>
        <v>0</v>
      </c>
      <c r="ED55" s="41">
        <f>SUMIFS($51:$51,$1:$1,ED$1+$Q$53-1)*SUMIFS(условия!$106:$106,условия!$8:$8,"&lt;="&amp;ED$9,условия!$9:$9,"&gt;="&amp;ED$9)</f>
        <v>0</v>
      </c>
      <c r="EE55" s="41">
        <f>SUMIFS($51:$51,$1:$1,EE$1+$Q$53-1)*SUMIFS(условия!$106:$106,условия!$8:$8,"&lt;="&amp;EE$9,условия!$9:$9,"&gt;="&amp;EE$9)</f>
        <v>0</v>
      </c>
      <c r="EF55" s="41">
        <f>SUMIFS($51:$51,$1:$1,EF$1+$Q$53-1)*SUMIFS(условия!$106:$106,условия!$8:$8,"&lt;="&amp;EF$9,условия!$9:$9,"&gt;="&amp;EF$9)</f>
        <v>0</v>
      </c>
      <c r="EG55" s="41">
        <f>SUMIFS($51:$51,$1:$1,EG$1+$Q$53-1)*SUMIFS(условия!$106:$106,условия!$8:$8,"&lt;="&amp;EG$9,условия!$9:$9,"&gt;="&amp;EG$9)</f>
        <v>0</v>
      </c>
      <c r="EH55" s="41">
        <f>SUMIFS($51:$51,$1:$1,EH$1+$Q$53-1)*SUMIFS(условия!$106:$106,условия!$8:$8,"&lt;="&amp;EH$9,условия!$9:$9,"&gt;="&amp;EH$9)</f>
        <v>0</v>
      </c>
      <c r="EI55" s="41">
        <f>SUMIFS($51:$51,$1:$1,EI$1+$Q$53-1)*SUMIFS(условия!$106:$106,условия!$8:$8,"&lt;="&amp;EI$9,условия!$9:$9,"&gt;="&amp;EI$9)</f>
        <v>0</v>
      </c>
      <c r="EJ55" s="3"/>
      <c r="EK55" s="3"/>
    </row>
    <row r="56" spans="1:14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</row>
    <row r="57" spans="1:141" x14ac:dyDescent="0.25">
      <c r="A57" s="3"/>
      <c r="B57" s="3"/>
      <c r="C57" s="3"/>
      <c r="D57" s="3"/>
      <c r="E57" s="3"/>
      <c r="F57" s="10" t="str">
        <f>KPI!$F$55</f>
        <v>обратное распределение начальных кап. затрат</v>
      </c>
      <c r="G57" s="3"/>
      <c r="H57" s="3"/>
      <c r="I57" s="3"/>
      <c r="J57" s="5" t="str">
        <f>IF($F57="","",INDEX(KPI!$I$11:$I$275,SUMIFS(KPI!$E$11:$E$275,KPI!$F$11:$F$275,$F57)))</f>
        <v>тыс.руб.</v>
      </c>
      <c r="K57" s="3"/>
      <c r="L57" s="3"/>
      <c r="M57" s="3"/>
      <c r="N57" s="3"/>
      <c r="O57" s="3"/>
      <c r="P57" s="3"/>
      <c r="Q57" s="12">
        <f>SUM(S57:EJ57)</f>
        <v>70000</v>
      </c>
      <c r="R57" s="3"/>
      <c r="S57" s="3"/>
      <c r="T57" s="33">
        <f t="shared" ref="T57:AY57" si="35">SUMIFS($11:$11,$1:$1,T$16)</f>
        <v>0</v>
      </c>
      <c r="U57" s="33">
        <f t="shared" si="35"/>
        <v>0</v>
      </c>
      <c r="V57" s="33">
        <f t="shared" si="35"/>
        <v>0</v>
      </c>
      <c r="W57" s="33">
        <f t="shared" si="35"/>
        <v>0</v>
      </c>
      <c r="X57" s="33">
        <f t="shared" si="35"/>
        <v>0</v>
      </c>
      <c r="Y57" s="33">
        <f t="shared" si="35"/>
        <v>0</v>
      </c>
      <c r="Z57" s="33">
        <f t="shared" si="35"/>
        <v>0</v>
      </c>
      <c r="AA57" s="33">
        <f t="shared" si="35"/>
        <v>0</v>
      </c>
      <c r="AB57" s="33">
        <f t="shared" si="35"/>
        <v>0</v>
      </c>
      <c r="AC57" s="33">
        <f t="shared" si="35"/>
        <v>0</v>
      </c>
      <c r="AD57" s="33">
        <f t="shared" si="35"/>
        <v>0</v>
      </c>
      <c r="AE57" s="33">
        <f t="shared" si="35"/>
        <v>0</v>
      </c>
      <c r="AF57" s="33">
        <f t="shared" si="35"/>
        <v>0</v>
      </c>
      <c r="AG57" s="33">
        <f t="shared" si="35"/>
        <v>0</v>
      </c>
      <c r="AH57" s="33">
        <f t="shared" si="35"/>
        <v>0</v>
      </c>
      <c r="AI57" s="33">
        <f t="shared" si="35"/>
        <v>0</v>
      </c>
      <c r="AJ57" s="33">
        <f t="shared" si="35"/>
        <v>0</v>
      </c>
      <c r="AK57" s="33">
        <f t="shared" si="35"/>
        <v>0</v>
      </c>
      <c r="AL57" s="33">
        <f t="shared" si="35"/>
        <v>0</v>
      </c>
      <c r="AM57" s="33">
        <f t="shared" si="35"/>
        <v>0</v>
      </c>
      <c r="AN57" s="33">
        <f t="shared" si="35"/>
        <v>0</v>
      </c>
      <c r="AO57" s="33">
        <f t="shared" si="35"/>
        <v>0</v>
      </c>
      <c r="AP57" s="33">
        <f t="shared" si="35"/>
        <v>0</v>
      </c>
      <c r="AQ57" s="33">
        <f t="shared" si="35"/>
        <v>0</v>
      </c>
      <c r="AR57" s="33">
        <f t="shared" si="35"/>
        <v>0</v>
      </c>
      <c r="AS57" s="33">
        <f t="shared" si="35"/>
        <v>0</v>
      </c>
      <c r="AT57" s="33">
        <f t="shared" si="35"/>
        <v>0</v>
      </c>
      <c r="AU57" s="33">
        <f t="shared" si="35"/>
        <v>0</v>
      </c>
      <c r="AV57" s="33">
        <f t="shared" si="35"/>
        <v>0</v>
      </c>
      <c r="AW57" s="33">
        <f t="shared" si="35"/>
        <v>0</v>
      </c>
      <c r="AX57" s="33">
        <f t="shared" si="35"/>
        <v>0</v>
      </c>
      <c r="AY57" s="33">
        <f t="shared" si="35"/>
        <v>0</v>
      </c>
      <c r="AZ57" s="33">
        <f t="shared" ref="AZ57:CE57" si="36">SUMIFS($11:$11,$1:$1,AZ$16)</f>
        <v>0</v>
      </c>
      <c r="BA57" s="33">
        <f t="shared" si="36"/>
        <v>0</v>
      </c>
      <c r="BB57" s="33">
        <f t="shared" si="36"/>
        <v>0</v>
      </c>
      <c r="BC57" s="33">
        <f t="shared" si="36"/>
        <v>0</v>
      </c>
      <c r="BD57" s="33">
        <f t="shared" si="36"/>
        <v>0</v>
      </c>
      <c r="BE57" s="33">
        <f t="shared" si="36"/>
        <v>0</v>
      </c>
      <c r="BF57" s="33">
        <f t="shared" si="36"/>
        <v>0</v>
      </c>
      <c r="BG57" s="33">
        <f t="shared" si="36"/>
        <v>0</v>
      </c>
      <c r="BH57" s="33">
        <f t="shared" si="36"/>
        <v>0</v>
      </c>
      <c r="BI57" s="33">
        <f t="shared" si="36"/>
        <v>0</v>
      </c>
      <c r="BJ57" s="33">
        <f t="shared" si="36"/>
        <v>0</v>
      </c>
      <c r="BK57" s="33">
        <f t="shared" si="36"/>
        <v>0</v>
      </c>
      <c r="BL57" s="33">
        <f t="shared" si="36"/>
        <v>0</v>
      </c>
      <c r="BM57" s="33">
        <f t="shared" si="36"/>
        <v>0</v>
      </c>
      <c r="BN57" s="33">
        <f t="shared" si="36"/>
        <v>0</v>
      </c>
      <c r="BO57" s="33">
        <f t="shared" si="36"/>
        <v>0</v>
      </c>
      <c r="BP57" s="33">
        <f t="shared" si="36"/>
        <v>0</v>
      </c>
      <c r="BQ57" s="33">
        <f t="shared" si="36"/>
        <v>0</v>
      </c>
      <c r="BR57" s="33">
        <f t="shared" si="36"/>
        <v>0</v>
      </c>
      <c r="BS57" s="33">
        <f t="shared" si="36"/>
        <v>0</v>
      </c>
      <c r="BT57" s="33">
        <f t="shared" si="36"/>
        <v>0</v>
      </c>
      <c r="BU57" s="33">
        <f t="shared" si="36"/>
        <v>0</v>
      </c>
      <c r="BV57" s="33">
        <f t="shared" si="36"/>
        <v>0</v>
      </c>
      <c r="BW57" s="33">
        <f t="shared" si="36"/>
        <v>0</v>
      </c>
      <c r="BX57" s="33">
        <f t="shared" si="36"/>
        <v>0</v>
      </c>
      <c r="BY57" s="33">
        <f t="shared" si="36"/>
        <v>0</v>
      </c>
      <c r="BZ57" s="33">
        <f t="shared" si="36"/>
        <v>0</v>
      </c>
      <c r="CA57" s="33">
        <f t="shared" si="36"/>
        <v>0</v>
      </c>
      <c r="CB57" s="33">
        <f t="shared" si="36"/>
        <v>0</v>
      </c>
      <c r="CC57" s="33">
        <f t="shared" si="36"/>
        <v>0</v>
      </c>
      <c r="CD57" s="33">
        <f t="shared" si="36"/>
        <v>0</v>
      </c>
      <c r="CE57" s="33">
        <f t="shared" si="36"/>
        <v>0</v>
      </c>
      <c r="CF57" s="33">
        <f t="shared" ref="CF57:DK57" si="37">SUMIFS($11:$11,$1:$1,CF$16)</f>
        <v>0</v>
      </c>
      <c r="CG57" s="33">
        <f t="shared" si="37"/>
        <v>0</v>
      </c>
      <c r="CH57" s="33">
        <f t="shared" si="37"/>
        <v>0</v>
      </c>
      <c r="CI57" s="33">
        <f t="shared" si="37"/>
        <v>0</v>
      </c>
      <c r="CJ57" s="33">
        <f t="shared" si="37"/>
        <v>0</v>
      </c>
      <c r="CK57" s="33">
        <f t="shared" si="37"/>
        <v>0</v>
      </c>
      <c r="CL57" s="33">
        <f t="shared" si="37"/>
        <v>0</v>
      </c>
      <c r="CM57" s="33">
        <f t="shared" si="37"/>
        <v>0</v>
      </c>
      <c r="CN57" s="33">
        <f t="shared" si="37"/>
        <v>0</v>
      </c>
      <c r="CO57" s="33">
        <f t="shared" si="37"/>
        <v>0</v>
      </c>
      <c r="CP57" s="33">
        <f t="shared" si="37"/>
        <v>0</v>
      </c>
      <c r="CQ57" s="33">
        <f t="shared" si="37"/>
        <v>0</v>
      </c>
      <c r="CR57" s="33">
        <f t="shared" si="37"/>
        <v>0</v>
      </c>
      <c r="CS57" s="33">
        <f t="shared" si="37"/>
        <v>0</v>
      </c>
      <c r="CT57" s="33">
        <f t="shared" si="37"/>
        <v>0</v>
      </c>
      <c r="CU57" s="33">
        <f t="shared" si="37"/>
        <v>0</v>
      </c>
      <c r="CV57" s="33">
        <f t="shared" si="37"/>
        <v>0</v>
      </c>
      <c r="CW57" s="33">
        <f t="shared" si="37"/>
        <v>0</v>
      </c>
      <c r="CX57" s="33">
        <f t="shared" si="37"/>
        <v>0</v>
      </c>
      <c r="CY57" s="33">
        <f t="shared" si="37"/>
        <v>0</v>
      </c>
      <c r="CZ57" s="33">
        <f t="shared" si="37"/>
        <v>0</v>
      </c>
      <c r="DA57" s="33">
        <f t="shared" si="37"/>
        <v>0</v>
      </c>
      <c r="DB57" s="33">
        <f t="shared" si="37"/>
        <v>0</v>
      </c>
      <c r="DC57" s="33">
        <f t="shared" si="37"/>
        <v>0</v>
      </c>
      <c r="DD57" s="33">
        <f t="shared" si="37"/>
        <v>0</v>
      </c>
      <c r="DE57" s="33">
        <f t="shared" si="37"/>
        <v>0</v>
      </c>
      <c r="DF57" s="33">
        <f t="shared" si="37"/>
        <v>0</v>
      </c>
      <c r="DG57" s="33">
        <f t="shared" si="37"/>
        <v>0</v>
      </c>
      <c r="DH57" s="33">
        <f t="shared" si="37"/>
        <v>0</v>
      </c>
      <c r="DI57" s="33">
        <f t="shared" si="37"/>
        <v>0</v>
      </c>
      <c r="DJ57" s="33">
        <f t="shared" si="37"/>
        <v>0</v>
      </c>
      <c r="DK57" s="33">
        <f t="shared" si="37"/>
        <v>0</v>
      </c>
      <c r="DL57" s="33">
        <f t="shared" ref="DL57:EI57" si="38">SUMIFS($11:$11,$1:$1,DL$16)</f>
        <v>0</v>
      </c>
      <c r="DM57" s="33">
        <f t="shared" si="38"/>
        <v>0</v>
      </c>
      <c r="DN57" s="33">
        <f t="shared" si="38"/>
        <v>0</v>
      </c>
      <c r="DO57" s="33">
        <f t="shared" si="38"/>
        <v>0</v>
      </c>
      <c r="DP57" s="33">
        <f t="shared" si="38"/>
        <v>0</v>
      </c>
      <c r="DQ57" s="33">
        <f t="shared" si="38"/>
        <v>0</v>
      </c>
      <c r="DR57" s="33">
        <f t="shared" si="38"/>
        <v>0</v>
      </c>
      <c r="DS57" s="33">
        <f t="shared" si="38"/>
        <v>0</v>
      </c>
      <c r="DT57" s="33">
        <f t="shared" si="38"/>
        <v>0</v>
      </c>
      <c r="DU57" s="33">
        <f t="shared" si="38"/>
        <v>0</v>
      </c>
      <c r="DV57" s="33">
        <f t="shared" si="38"/>
        <v>0</v>
      </c>
      <c r="DW57" s="33">
        <f t="shared" si="38"/>
        <v>0</v>
      </c>
      <c r="DX57" s="33">
        <f t="shared" si="38"/>
        <v>0</v>
      </c>
      <c r="DY57" s="33">
        <f t="shared" si="38"/>
        <v>0</v>
      </c>
      <c r="DZ57" s="33">
        <f t="shared" si="38"/>
        <v>0</v>
      </c>
      <c r="EA57" s="33">
        <f t="shared" si="38"/>
        <v>0</v>
      </c>
      <c r="EB57" s="33">
        <f t="shared" si="38"/>
        <v>0</v>
      </c>
      <c r="EC57" s="33">
        <f t="shared" si="38"/>
        <v>0</v>
      </c>
      <c r="ED57" s="33">
        <f t="shared" si="38"/>
        <v>0</v>
      </c>
      <c r="EE57" s="33">
        <f t="shared" si="38"/>
        <v>17500</v>
      </c>
      <c r="EF57" s="33">
        <f t="shared" si="38"/>
        <v>17500</v>
      </c>
      <c r="EG57" s="33">
        <f t="shared" si="38"/>
        <v>17500</v>
      </c>
      <c r="EH57" s="33">
        <f t="shared" si="38"/>
        <v>17500</v>
      </c>
      <c r="EI57" s="33">
        <f t="shared" si="38"/>
        <v>0</v>
      </c>
      <c r="EJ57" s="3"/>
      <c r="EK57" s="3"/>
    </row>
    <row r="58" spans="1:141" x14ac:dyDescent="0.25">
      <c r="A58" s="3"/>
      <c r="B58" s="3"/>
      <c r="C58" s="3"/>
      <c r="D58" s="3"/>
      <c r="E58" s="3"/>
      <c r="F58" s="3"/>
      <c r="G58" s="3"/>
      <c r="H58" s="3"/>
      <c r="I58" s="3"/>
      <c r="J58" s="21" t="str">
        <f>структура!$P$12</f>
        <v>контроль</v>
      </c>
      <c r="K58" s="21"/>
      <c r="L58" s="21"/>
      <c r="M58" s="21"/>
      <c r="N58" s="21"/>
      <c r="O58" s="21"/>
      <c r="P58" s="21"/>
      <c r="Q58" s="49">
        <f>Q57-Q11</f>
        <v>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</row>
    <row r="59" spans="1:141" x14ac:dyDescent="0.25">
      <c r="A59" s="3"/>
      <c r="B59" s="3"/>
      <c r="C59" s="3"/>
      <c r="D59" s="3"/>
      <c r="E59" s="3"/>
      <c r="F59" s="10" t="str">
        <f>KPI!$F$56</f>
        <v>капитальные затраты на масштабирование производства</v>
      </c>
      <c r="G59" s="3"/>
      <c r="H59" s="3"/>
      <c r="I59" s="3"/>
      <c r="J59" s="5" t="str">
        <f>IF($F59="","",INDEX(KPI!$I$11:$I$275,SUMIFS(KPI!$E$11:$E$275,KPI!$F$11:$F$275,$F59)))</f>
        <v>тыс.руб.</v>
      </c>
      <c r="K59" s="3"/>
      <c r="L59" s="3"/>
      <c r="M59" s="3"/>
      <c r="N59" s="3"/>
      <c r="O59" s="3"/>
      <c r="P59" s="3"/>
      <c r="Q59" s="12">
        <f>SUM(S59:EJ59)</f>
        <v>138696.64053424765</v>
      </c>
      <c r="R59" s="3"/>
      <c r="S59" s="3"/>
      <c r="T59" s="33">
        <f>SUMPRODUCT($T$55:T$55,$EI$57:$EI$57)</f>
        <v>0</v>
      </c>
      <c r="U59" s="33">
        <f>SUMPRODUCT($T$55:U$55,$EH$57:$EI$57)</f>
        <v>0</v>
      </c>
      <c r="V59" s="33">
        <f>SUMPRODUCT($T$55:V$55,$EG$57:$EI$57)</f>
        <v>0</v>
      </c>
      <c r="W59" s="33">
        <f>SUMPRODUCT($T$55:W$55,$EF$57:$EI$57)</f>
        <v>0</v>
      </c>
      <c r="X59" s="33">
        <f>SUMPRODUCT($T$55:X$55,$EE$57:$EI$57)</f>
        <v>0</v>
      </c>
      <c r="Y59" s="33">
        <f>SUMPRODUCT($T$55:Y$55,$ED$57:$EI$57)</f>
        <v>0</v>
      </c>
      <c r="Z59" s="33">
        <f>SUMPRODUCT($T$55:Z$55,$EC$57:$EI$57)</f>
        <v>0</v>
      </c>
      <c r="AA59" s="33">
        <f>SUMPRODUCT($T$55:AA$55,$EB$57:$EI$57)</f>
        <v>0</v>
      </c>
      <c r="AB59" s="33">
        <f>SUMPRODUCT($T$55:AB$55,$EA$57:$EI$57)</f>
        <v>0</v>
      </c>
      <c r="AC59" s="33">
        <f>SUMPRODUCT($T$55:AC$55,$DZ$57:$EI$57)</f>
        <v>0</v>
      </c>
      <c r="AD59" s="33">
        <f>SUMPRODUCT($T$55:AD$55,$DY$57:$EI$57)</f>
        <v>0</v>
      </c>
      <c r="AE59" s="33">
        <f>SUMPRODUCT($T$55:AE$55,$DX$57:$EI$57)</f>
        <v>0</v>
      </c>
      <c r="AF59" s="33">
        <f>SUMPRODUCT($T$55:AF$55,$DW$57:$EI$57)</f>
        <v>0</v>
      </c>
      <c r="AG59" s="33">
        <f>SUMPRODUCT($T$55:AG$55,$DV$57:$EI$57)</f>
        <v>0</v>
      </c>
      <c r="AH59" s="33">
        <f>SUMPRODUCT($T$55:AH$55,$DU$57:$EI$57)</f>
        <v>0</v>
      </c>
      <c r="AI59" s="33">
        <f>SUMPRODUCT($T$55:AI$55,$DT$57:$EI$57)</f>
        <v>0</v>
      </c>
      <c r="AJ59" s="33">
        <f>SUMPRODUCT($T$55:AJ$55,$DS$57:$EI$57)</f>
        <v>0</v>
      </c>
      <c r="AK59" s="33">
        <f>SUMPRODUCT($T$55:AK$55,$DR$57:$EI$57)</f>
        <v>0</v>
      </c>
      <c r="AL59" s="33">
        <f>SUMPRODUCT($T$55:AL$55,$DQ$57:$EI$57)</f>
        <v>0</v>
      </c>
      <c r="AM59" s="33">
        <f>SUMPRODUCT($T$55:AM$55,$DP$57:$EI$57)</f>
        <v>0</v>
      </c>
      <c r="AN59" s="33">
        <f>SUMPRODUCT($T$55:AN$55,$DO$57:$EI$57)</f>
        <v>0</v>
      </c>
      <c r="AO59" s="33">
        <f>SUMPRODUCT($T$55:AO$55,$DN$57:$EI$57)</f>
        <v>0</v>
      </c>
      <c r="AP59" s="33">
        <f>SUMPRODUCT($T$55:AP$55,$DM$57:$EI$57)</f>
        <v>0</v>
      </c>
      <c r="AQ59" s="33">
        <f>SUMPRODUCT($T$55:AQ$55,$DL$57:$EI$57)</f>
        <v>0</v>
      </c>
      <c r="AR59" s="33">
        <f>SUMPRODUCT($T$55:AR$55,$DK$57:$EI$57)</f>
        <v>0</v>
      </c>
      <c r="AS59" s="33">
        <f>SUMPRODUCT($T$55:AS$55,$DJ$57:$EI$57)</f>
        <v>0</v>
      </c>
      <c r="AT59" s="33">
        <f>SUMPRODUCT($T$55:AT$55,$DI$57:$EI$57)</f>
        <v>0</v>
      </c>
      <c r="AU59" s="33">
        <f>SUMPRODUCT($T$55:AU$55,$DH$57:$EI$57)</f>
        <v>0</v>
      </c>
      <c r="AV59" s="33">
        <f>SUMPRODUCT($T$55:AV$55,$DG$57:$EI$57)</f>
        <v>0</v>
      </c>
      <c r="AW59" s="33">
        <f>SUMPRODUCT($T$55:AW$55,$DF$57:$EI$57)</f>
        <v>0</v>
      </c>
      <c r="AX59" s="33">
        <f>SUMPRODUCT($T$55:AX$55,$DE$57:$EI$57)</f>
        <v>0</v>
      </c>
      <c r="AY59" s="33">
        <f>SUMPRODUCT($T$55:AY$55,$DD$57:$EI$57)</f>
        <v>0</v>
      </c>
      <c r="AZ59" s="33">
        <f>SUMPRODUCT($T$55:AZ$55,$DC$57:$EI$57)</f>
        <v>0</v>
      </c>
      <c r="BA59" s="33">
        <f>SUMPRODUCT($T$55:BA$55,$DB$57:$EI$57)</f>
        <v>0</v>
      </c>
      <c r="BB59" s="33">
        <f>SUMPRODUCT($T$55:BB$55,$DA$57:$EI$57)</f>
        <v>0</v>
      </c>
      <c r="BC59" s="33">
        <f>SUMPRODUCT($T$55:BC$55,$CZ$57:$EI$57)</f>
        <v>0</v>
      </c>
      <c r="BD59" s="33">
        <f>SUMPRODUCT($T$55:BD$55,$CY$57:$EI$57)</f>
        <v>0</v>
      </c>
      <c r="BE59" s="33">
        <f>SUMPRODUCT($T$55:BE$55,$CX$57:$EI$57)</f>
        <v>0</v>
      </c>
      <c r="BF59" s="33">
        <f>SUMPRODUCT($T$55:BF$55,$CW$57:$EI$57)</f>
        <v>0</v>
      </c>
      <c r="BG59" s="33">
        <f>SUMPRODUCT($T$55:BG$55,$CV$57:$EI$57)</f>
        <v>0</v>
      </c>
      <c r="BH59" s="33">
        <f>SUMPRODUCT($T$55:BH$55,$CU$57:$EI$57)</f>
        <v>0</v>
      </c>
      <c r="BI59" s="33">
        <f>SUMPRODUCT($T$55:BI$55,$CT$57:$EI$57)</f>
        <v>0</v>
      </c>
      <c r="BJ59" s="33">
        <f>SUMPRODUCT($T$55:BJ$55,$CS$57:$EI$57)</f>
        <v>0</v>
      </c>
      <c r="BK59" s="33">
        <f>SUMPRODUCT($T$55:BK$55,$CR$57:$EI$57)</f>
        <v>0</v>
      </c>
      <c r="BL59" s="33">
        <f>SUMPRODUCT($T$55:BL$55,$CQ$57:$EI$57)</f>
        <v>0</v>
      </c>
      <c r="BM59" s="33">
        <f>SUMPRODUCT($T$55:BM$55,$CP$57:$EI$57)</f>
        <v>0</v>
      </c>
      <c r="BN59" s="33">
        <f>SUMPRODUCT($T$55:BN$55,$CO$57:$EI$57)</f>
        <v>0</v>
      </c>
      <c r="BO59" s="33">
        <f>SUMPRODUCT($T$55:BO$55,$CN$57:$EI$57)</f>
        <v>0</v>
      </c>
      <c r="BP59" s="33">
        <f>SUMPRODUCT($T$55:BP$55,$CM$57:$EI$57)</f>
        <v>0</v>
      </c>
      <c r="BQ59" s="33">
        <f>SUMPRODUCT($T$55:BQ$55,$CL$57:$EI$57)</f>
        <v>0</v>
      </c>
      <c r="BR59" s="33">
        <f>SUMPRODUCT($T$55:BR$55,$CK$57:$EI$57)</f>
        <v>0</v>
      </c>
      <c r="BS59" s="33">
        <f>SUMPRODUCT($T$55:BS$55,$CJ$57:$EI$57)</f>
        <v>0</v>
      </c>
      <c r="BT59" s="33">
        <f>SUMPRODUCT($T$55:BT$55,$CI$57:$EI$57)</f>
        <v>0</v>
      </c>
      <c r="BU59" s="33">
        <f>SUMPRODUCT($T$55:BU$55,$CH$57:$EI$57)</f>
        <v>0</v>
      </c>
      <c r="BV59" s="33">
        <f>SUMPRODUCT($T$55:BV$55,$CG$57:$EI$57)</f>
        <v>15907.183355000005</v>
      </c>
      <c r="BW59" s="33">
        <f>SUMPRODUCT($T$55:BW$55,$CF$57:$EI$57)</f>
        <v>15907.183355000005</v>
      </c>
      <c r="BX59" s="33">
        <f>SUMPRODUCT($T$55:BX$55,$CE$57:$EI$57)</f>
        <v>15907.183355000005</v>
      </c>
      <c r="BY59" s="33">
        <f>SUMPRODUCT($T$55:BY$55,$CD$57:$EI$57)</f>
        <v>15907.183355000005</v>
      </c>
      <c r="BZ59" s="33">
        <f>SUMPRODUCT($T$55:BZ$55,$CC$57:$EI$57)</f>
        <v>0</v>
      </c>
      <c r="CA59" s="33">
        <f>SUMPRODUCT($T$55:CA$55,$CB$57:$EI$57)</f>
        <v>0</v>
      </c>
      <c r="CB59" s="33">
        <f>SUMPRODUCT($T$55:CB$55,$CA$57:$EI$57)</f>
        <v>0</v>
      </c>
      <c r="CC59" s="33">
        <f>SUMPRODUCT($T$55:CC$55,$BZ$57:$EI$57)</f>
        <v>0</v>
      </c>
      <c r="CD59" s="33">
        <f>SUMPRODUCT($T$55:CD$55,$BY$57:$EI$57)</f>
        <v>0</v>
      </c>
      <c r="CE59" s="33">
        <f>SUMPRODUCT($T$55:CE$55,$BX$57:$EI$57)</f>
        <v>0</v>
      </c>
      <c r="CF59" s="33">
        <f>SUMPRODUCT($T$55:CF$55,$BW$57:$EI$57)</f>
        <v>0</v>
      </c>
      <c r="CG59" s="33">
        <f>SUMPRODUCT($T$55:CG$55,$BV$57:$EI$57)</f>
        <v>0</v>
      </c>
      <c r="CH59" s="33">
        <f>SUMPRODUCT($T$55:CH$55,$BU$57:$EI$57)</f>
        <v>0</v>
      </c>
      <c r="CI59" s="33">
        <f>SUMPRODUCT($T$55:CI$55,$BT$57:$EI$57)</f>
        <v>0</v>
      </c>
      <c r="CJ59" s="33">
        <f>SUMPRODUCT($T$55:CJ$55,$BS$57:$EI$57)</f>
        <v>0</v>
      </c>
      <c r="CK59" s="33">
        <f>SUMPRODUCT($T$55:CK$55,$BR$57:$EI$57)</f>
        <v>0</v>
      </c>
      <c r="CL59" s="33">
        <f>SUMPRODUCT($T$55:CL$55,$BQ$57:$EI$57)</f>
        <v>0</v>
      </c>
      <c r="CM59" s="33">
        <f>SUMPRODUCT($T$55:CM$55,$BP$57:$EI$57)</f>
        <v>0</v>
      </c>
      <c r="CN59" s="33">
        <f>SUMPRODUCT($T$55:CN$55,$BO$57:$EI$57)</f>
        <v>0</v>
      </c>
      <c r="CO59" s="33">
        <f>SUMPRODUCT($T$55:CO$55,$BN$57:$EI$57)</f>
        <v>0</v>
      </c>
      <c r="CP59" s="33">
        <f>SUMPRODUCT($T$55:CP$55,$BM$57:$EI$57)</f>
        <v>0</v>
      </c>
      <c r="CQ59" s="33">
        <f>SUMPRODUCT($T$55:CQ$55,$BL$57:$EI$57)</f>
        <v>0</v>
      </c>
      <c r="CR59" s="33">
        <f>SUMPRODUCT($T$55:CR$55,$BK$57:$EI$57)</f>
        <v>0</v>
      </c>
      <c r="CS59" s="33">
        <f>SUMPRODUCT($T$55:CS$55,$BJ$57:$EI$57)</f>
        <v>0</v>
      </c>
      <c r="CT59" s="33">
        <f>SUMPRODUCT($T$55:CT$55,$BI$57:$EI$57)</f>
        <v>0</v>
      </c>
      <c r="CU59" s="33">
        <f>SUMPRODUCT($T$55:CU$55,$BH$57:$EI$57)</f>
        <v>0</v>
      </c>
      <c r="CV59" s="33">
        <f>SUMPRODUCT($T$55:CV$55,$BG$57:$EI$57)</f>
        <v>0</v>
      </c>
      <c r="CW59" s="33">
        <f>SUMPRODUCT($T$55:CW$55,$BF$57:$EI$57)</f>
        <v>0</v>
      </c>
      <c r="CX59" s="33">
        <f>SUMPRODUCT($T$55:CX$55,$BE$57:$EI$57)</f>
        <v>0</v>
      </c>
      <c r="CY59" s="33">
        <f>SUMPRODUCT($T$55:CY$55,$BD$57:$EI$57)</f>
        <v>0</v>
      </c>
      <c r="CZ59" s="33">
        <f>SUMPRODUCT($T$55:CZ$55,$BC$57:$EI$57)</f>
        <v>0</v>
      </c>
      <c r="DA59" s="33">
        <f>SUMPRODUCT($T$55:DA$55,$BB$57:$EI$57)</f>
        <v>0</v>
      </c>
      <c r="DB59" s="33">
        <f>SUMPRODUCT($T$55:DB$55,$BA$57:$EI$57)</f>
        <v>0</v>
      </c>
      <c r="DC59" s="33">
        <f>SUMPRODUCT($T$55:DC$55,$AZ$57:$EI$57)</f>
        <v>0</v>
      </c>
      <c r="DD59" s="33">
        <f>SUMPRODUCT($T$55:DD$55,$AY$57:$EI$57)</f>
        <v>0</v>
      </c>
      <c r="DE59" s="33">
        <f>SUMPRODUCT($T$55:DE$55,$AX$57:$EI$57)</f>
        <v>0</v>
      </c>
      <c r="DF59" s="33">
        <f>SUMPRODUCT($T$55:DF$55,$AW$57:$EI$57)</f>
        <v>0</v>
      </c>
      <c r="DG59" s="33">
        <f>SUMPRODUCT($T$55:DG$55,$AV$57:$EI$57)</f>
        <v>18766.976778561908</v>
      </c>
      <c r="DH59" s="33">
        <f>SUMPRODUCT($T$55:DH$55,$AU$57:$EI$57)</f>
        <v>18766.976778561908</v>
      </c>
      <c r="DI59" s="33">
        <f>SUMPRODUCT($T$55:DI$55,$AT$57:$EI$57)</f>
        <v>18766.976778561908</v>
      </c>
      <c r="DJ59" s="33">
        <f>SUMPRODUCT($T$55:DJ$55,$AS$57:$EI$57)</f>
        <v>18766.976778561908</v>
      </c>
      <c r="DK59" s="33">
        <f>SUMPRODUCT($T$55:DK$55,$AR$57:$EI$57)</f>
        <v>0</v>
      </c>
      <c r="DL59" s="33">
        <f>SUMPRODUCT($T$55:DL$55,$AQ$57:$EI$57)</f>
        <v>0</v>
      </c>
      <c r="DM59" s="33">
        <f>SUMPRODUCT($T$55:DM$55,$AP$57:$EI$57)</f>
        <v>0</v>
      </c>
      <c r="DN59" s="33">
        <f>SUMPRODUCT($T$55:DN$55,$AO$57:$EI$57)</f>
        <v>0</v>
      </c>
      <c r="DO59" s="33">
        <f>SUMPRODUCT($T$55:DO$55,$AN$57:$EI$57)</f>
        <v>0</v>
      </c>
      <c r="DP59" s="33">
        <f>SUMPRODUCT($T$55:DP$55,$AM$57:$EI$57)</f>
        <v>0</v>
      </c>
      <c r="DQ59" s="33">
        <f>SUMPRODUCT($T$55:DQ$55,$AL$57:$EI$57)</f>
        <v>0</v>
      </c>
      <c r="DR59" s="33">
        <f>SUMPRODUCT($T$55:DR$55,$AK$57:$EI$57)</f>
        <v>0</v>
      </c>
      <c r="DS59" s="33">
        <f>SUMPRODUCT($T$55:DS$55,$AJ$57:$EI$57)</f>
        <v>0</v>
      </c>
      <c r="DT59" s="33">
        <f>SUMPRODUCT($T$55:DT$55,$AI$57:$EI$57)</f>
        <v>0</v>
      </c>
      <c r="DU59" s="33">
        <f>SUMPRODUCT($T$55:DU$55,$AH$57:$EI$57)</f>
        <v>0</v>
      </c>
      <c r="DV59" s="33">
        <f>SUMPRODUCT($T$55:DV$55,$AG$57:$EI$57)</f>
        <v>0</v>
      </c>
      <c r="DW59" s="33">
        <f>SUMPRODUCT($T$55:DW$55,$AF$57:$EI$57)</f>
        <v>0</v>
      </c>
      <c r="DX59" s="33">
        <f>SUMPRODUCT($T$55:DX$55,$AE$57:$EI$57)</f>
        <v>0</v>
      </c>
      <c r="DY59" s="33">
        <f>SUMPRODUCT($T$55:DY$55,$AD$57:$EI$57)</f>
        <v>0</v>
      </c>
      <c r="DZ59" s="33">
        <f>SUMPRODUCT($T$55:DZ$55,$AC$57:$EI$57)</f>
        <v>0</v>
      </c>
      <c r="EA59" s="33">
        <f>SUMPRODUCT($T$55:EA$55,$AB$57:$EI$57)</f>
        <v>0</v>
      </c>
      <c r="EB59" s="33">
        <f>SUMPRODUCT($T$55:EB$55,$AA$57:$EI$57)</f>
        <v>0</v>
      </c>
      <c r="EC59" s="33">
        <f>SUMPRODUCT($T$55:EC$55,$Z$57:$EI$57)</f>
        <v>0</v>
      </c>
      <c r="ED59" s="33">
        <f>SUMPRODUCT($T$55:ED$55,$Y$57:$EI$57)</f>
        <v>0</v>
      </c>
      <c r="EE59" s="33">
        <f>SUMPRODUCT($T$55:EE$55,$X$57:$EI$57)</f>
        <v>0</v>
      </c>
      <c r="EF59" s="33">
        <f>SUMPRODUCT($T$55:EF$55,$W$57:$EI$57)</f>
        <v>0</v>
      </c>
      <c r="EG59" s="33">
        <f>SUMPRODUCT($T$55:EG$55,$V$57:$EI$57)</f>
        <v>0</v>
      </c>
      <c r="EH59" s="33">
        <f>SUMPRODUCT($T$55:EH$55,$U$57:$EI$57)</f>
        <v>0</v>
      </c>
      <c r="EI59" s="33">
        <f>SUMPRODUCT($T$55:EI$55,$T$57:$EI$57)</f>
        <v>0</v>
      </c>
      <c r="EJ59" s="3"/>
      <c r="EK59" s="3"/>
    </row>
    <row r="60" spans="1:14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</row>
    <row r="61" spans="1:141" x14ac:dyDescent="0.25">
      <c r="A61" s="3"/>
      <c r="B61" s="3"/>
      <c r="C61" s="3"/>
      <c r="D61" s="3"/>
      <c r="E61" s="3"/>
      <c r="F61" s="10" t="str">
        <f>KPI!$F$57</f>
        <v>обратное распределение ввода в эксплуатацию кап. затрат</v>
      </c>
      <c r="G61" s="3"/>
      <c r="H61" s="3"/>
      <c r="I61" s="3"/>
      <c r="J61" s="5" t="str">
        <f>IF($F61="","",INDEX(KPI!$I$11:$I$275,SUMIFS(KPI!$E$11:$E$275,KPI!$F$11:$F$275,$F61)))</f>
        <v>тыс.руб.</v>
      </c>
      <c r="K61" s="3"/>
      <c r="L61" s="3"/>
      <c r="M61" s="3"/>
      <c r="N61" s="3"/>
      <c r="O61" s="3"/>
      <c r="P61" s="3"/>
      <c r="Q61" s="12">
        <f>SUM(S61:EJ61)</f>
        <v>70000</v>
      </c>
      <c r="R61" s="3"/>
      <c r="S61" s="3"/>
      <c r="T61" s="33">
        <f t="shared" ref="T61:AY61" si="39">SUMIFS($15:$15,$1:$1,T$16)</f>
        <v>0</v>
      </c>
      <c r="U61" s="33">
        <f t="shared" si="39"/>
        <v>0</v>
      </c>
      <c r="V61" s="33">
        <f t="shared" si="39"/>
        <v>0</v>
      </c>
      <c r="W61" s="33">
        <f t="shared" si="39"/>
        <v>0</v>
      </c>
      <c r="X61" s="33">
        <f t="shared" si="39"/>
        <v>0</v>
      </c>
      <c r="Y61" s="33">
        <f t="shared" si="39"/>
        <v>0</v>
      </c>
      <c r="Z61" s="33">
        <f t="shared" si="39"/>
        <v>0</v>
      </c>
      <c r="AA61" s="33">
        <f t="shared" si="39"/>
        <v>0</v>
      </c>
      <c r="AB61" s="33">
        <f t="shared" si="39"/>
        <v>0</v>
      </c>
      <c r="AC61" s="33">
        <f t="shared" si="39"/>
        <v>0</v>
      </c>
      <c r="AD61" s="33">
        <f t="shared" si="39"/>
        <v>0</v>
      </c>
      <c r="AE61" s="33">
        <f t="shared" si="39"/>
        <v>0</v>
      </c>
      <c r="AF61" s="33">
        <f t="shared" si="39"/>
        <v>0</v>
      </c>
      <c r="AG61" s="33">
        <f t="shared" si="39"/>
        <v>0</v>
      </c>
      <c r="AH61" s="33">
        <f t="shared" si="39"/>
        <v>0</v>
      </c>
      <c r="AI61" s="33">
        <f t="shared" si="39"/>
        <v>0</v>
      </c>
      <c r="AJ61" s="33">
        <f t="shared" si="39"/>
        <v>0</v>
      </c>
      <c r="AK61" s="33">
        <f t="shared" si="39"/>
        <v>0</v>
      </c>
      <c r="AL61" s="33">
        <f t="shared" si="39"/>
        <v>0</v>
      </c>
      <c r="AM61" s="33">
        <f t="shared" si="39"/>
        <v>0</v>
      </c>
      <c r="AN61" s="33">
        <f t="shared" si="39"/>
        <v>0</v>
      </c>
      <c r="AO61" s="33">
        <f t="shared" si="39"/>
        <v>0</v>
      </c>
      <c r="AP61" s="33">
        <f t="shared" si="39"/>
        <v>0</v>
      </c>
      <c r="AQ61" s="33">
        <f t="shared" si="39"/>
        <v>0</v>
      </c>
      <c r="AR61" s="33">
        <f t="shared" si="39"/>
        <v>0</v>
      </c>
      <c r="AS61" s="33">
        <f t="shared" si="39"/>
        <v>0</v>
      </c>
      <c r="AT61" s="33">
        <f t="shared" si="39"/>
        <v>0</v>
      </c>
      <c r="AU61" s="33">
        <f t="shared" si="39"/>
        <v>0</v>
      </c>
      <c r="AV61" s="33">
        <f t="shared" si="39"/>
        <v>0</v>
      </c>
      <c r="AW61" s="33">
        <f t="shared" si="39"/>
        <v>0</v>
      </c>
      <c r="AX61" s="33">
        <f t="shared" si="39"/>
        <v>0</v>
      </c>
      <c r="AY61" s="33">
        <f t="shared" si="39"/>
        <v>0</v>
      </c>
      <c r="AZ61" s="33">
        <f t="shared" ref="AZ61:CE61" si="40">SUMIFS($15:$15,$1:$1,AZ$16)</f>
        <v>0</v>
      </c>
      <c r="BA61" s="33">
        <f t="shared" si="40"/>
        <v>0</v>
      </c>
      <c r="BB61" s="33">
        <f t="shared" si="40"/>
        <v>0</v>
      </c>
      <c r="BC61" s="33">
        <f t="shared" si="40"/>
        <v>0</v>
      </c>
      <c r="BD61" s="33">
        <f t="shared" si="40"/>
        <v>0</v>
      </c>
      <c r="BE61" s="33">
        <f t="shared" si="40"/>
        <v>0</v>
      </c>
      <c r="BF61" s="33">
        <f t="shared" si="40"/>
        <v>0</v>
      </c>
      <c r="BG61" s="33">
        <f t="shared" si="40"/>
        <v>0</v>
      </c>
      <c r="BH61" s="33">
        <f t="shared" si="40"/>
        <v>0</v>
      </c>
      <c r="BI61" s="33">
        <f t="shared" si="40"/>
        <v>0</v>
      </c>
      <c r="BJ61" s="33">
        <f t="shared" si="40"/>
        <v>0</v>
      </c>
      <c r="BK61" s="33">
        <f t="shared" si="40"/>
        <v>0</v>
      </c>
      <c r="BL61" s="33">
        <f t="shared" si="40"/>
        <v>0</v>
      </c>
      <c r="BM61" s="33">
        <f t="shared" si="40"/>
        <v>0</v>
      </c>
      <c r="BN61" s="33">
        <f t="shared" si="40"/>
        <v>0</v>
      </c>
      <c r="BO61" s="33">
        <f t="shared" si="40"/>
        <v>0</v>
      </c>
      <c r="BP61" s="33">
        <f t="shared" si="40"/>
        <v>0</v>
      </c>
      <c r="BQ61" s="33">
        <f t="shared" si="40"/>
        <v>0</v>
      </c>
      <c r="BR61" s="33">
        <f t="shared" si="40"/>
        <v>0</v>
      </c>
      <c r="BS61" s="33">
        <f t="shared" si="40"/>
        <v>0</v>
      </c>
      <c r="BT61" s="33">
        <f t="shared" si="40"/>
        <v>0</v>
      </c>
      <c r="BU61" s="33">
        <f t="shared" si="40"/>
        <v>0</v>
      </c>
      <c r="BV61" s="33">
        <f t="shared" si="40"/>
        <v>0</v>
      </c>
      <c r="BW61" s="33">
        <f t="shared" si="40"/>
        <v>0</v>
      </c>
      <c r="BX61" s="33">
        <f t="shared" si="40"/>
        <v>0</v>
      </c>
      <c r="BY61" s="33">
        <f t="shared" si="40"/>
        <v>0</v>
      </c>
      <c r="BZ61" s="33">
        <f t="shared" si="40"/>
        <v>0</v>
      </c>
      <c r="CA61" s="33">
        <f t="shared" si="40"/>
        <v>0</v>
      </c>
      <c r="CB61" s="33">
        <f t="shared" si="40"/>
        <v>0</v>
      </c>
      <c r="CC61" s="33">
        <f t="shared" si="40"/>
        <v>0</v>
      </c>
      <c r="CD61" s="33">
        <f t="shared" si="40"/>
        <v>0</v>
      </c>
      <c r="CE61" s="33">
        <f t="shared" si="40"/>
        <v>0</v>
      </c>
      <c r="CF61" s="33">
        <f t="shared" ref="CF61:DK61" si="41">SUMIFS($15:$15,$1:$1,CF$16)</f>
        <v>0</v>
      </c>
      <c r="CG61" s="33">
        <f t="shared" si="41"/>
        <v>0</v>
      </c>
      <c r="CH61" s="33">
        <f t="shared" si="41"/>
        <v>0</v>
      </c>
      <c r="CI61" s="33">
        <f t="shared" si="41"/>
        <v>0</v>
      </c>
      <c r="CJ61" s="33">
        <f t="shared" si="41"/>
        <v>0</v>
      </c>
      <c r="CK61" s="33">
        <f t="shared" si="41"/>
        <v>0</v>
      </c>
      <c r="CL61" s="33">
        <f t="shared" si="41"/>
        <v>0</v>
      </c>
      <c r="CM61" s="33">
        <f t="shared" si="41"/>
        <v>0</v>
      </c>
      <c r="CN61" s="33">
        <f t="shared" si="41"/>
        <v>0</v>
      </c>
      <c r="CO61" s="33">
        <f t="shared" si="41"/>
        <v>0</v>
      </c>
      <c r="CP61" s="33">
        <f t="shared" si="41"/>
        <v>0</v>
      </c>
      <c r="CQ61" s="33">
        <f t="shared" si="41"/>
        <v>0</v>
      </c>
      <c r="CR61" s="33">
        <f t="shared" si="41"/>
        <v>0</v>
      </c>
      <c r="CS61" s="33">
        <f t="shared" si="41"/>
        <v>0</v>
      </c>
      <c r="CT61" s="33">
        <f t="shared" si="41"/>
        <v>0</v>
      </c>
      <c r="CU61" s="33">
        <f t="shared" si="41"/>
        <v>0</v>
      </c>
      <c r="CV61" s="33">
        <f t="shared" si="41"/>
        <v>0</v>
      </c>
      <c r="CW61" s="33">
        <f t="shared" si="41"/>
        <v>0</v>
      </c>
      <c r="CX61" s="33">
        <f t="shared" si="41"/>
        <v>0</v>
      </c>
      <c r="CY61" s="33">
        <f t="shared" si="41"/>
        <v>0</v>
      </c>
      <c r="CZ61" s="33">
        <f t="shared" si="41"/>
        <v>0</v>
      </c>
      <c r="DA61" s="33">
        <f t="shared" si="41"/>
        <v>0</v>
      </c>
      <c r="DB61" s="33">
        <f t="shared" si="41"/>
        <v>0</v>
      </c>
      <c r="DC61" s="33">
        <f t="shared" si="41"/>
        <v>0</v>
      </c>
      <c r="DD61" s="33">
        <f t="shared" si="41"/>
        <v>0</v>
      </c>
      <c r="DE61" s="33">
        <f t="shared" si="41"/>
        <v>0</v>
      </c>
      <c r="DF61" s="33">
        <f t="shared" si="41"/>
        <v>0</v>
      </c>
      <c r="DG61" s="33">
        <f t="shared" si="41"/>
        <v>0</v>
      </c>
      <c r="DH61" s="33">
        <f t="shared" si="41"/>
        <v>0</v>
      </c>
      <c r="DI61" s="33">
        <f t="shared" si="41"/>
        <v>0</v>
      </c>
      <c r="DJ61" s="33">
        <f t="shared" si="41"/>
        <v>0</v>
      </c>
      <c r="DK61" s="33">
        <f t="shared" si="41"/>
        <v>0</v>
      </c>
      <c r="DL61" s="33">
        <f t="shared" ref="DL61:EI61" si="42">SUMIFS($15:$15,$1:$1,DL$16)</f>
        <v>0</v>
      </c>
      <c r="DM61" s="33">
        <f t="shared" si="42"/>
        <v>0</v>
      </c>
      <c r="DN61" s="33">
        <f t="shared" si="42"/>
        <v>0</v>
      </c>
      <c r="DO61" s="33">
        <f t="shared" si="42"/>
        <v>0</v>
      </c>
      <c r="DP61" s="33">
        <f t="shared" si="42"/>
        <v>0</v>
      </c>
      <c r="DQ61" s="33">
        <f t="shared" si="42"/>
        <v>0</v>
      </c>
      <c r="DR61" s="33">
        <f t="shared" si="42"/>
        <v>0</v>
      </c>
      <c r="DS61" s="33">
        <f t="shared" si="42"/>
        <v>0</v>
      </c>
      <c r="DT61" s="33">
        <f t="shared" si="42"/>
        <v>0</v>
      </c>
      <c r="DU61" s="33">
        <f t="shared" si="42"/>
        <v>0</v>
      </c>
      <c r="DV61" s="33">
        <f t="shared" si="42"/>
        <v>0</v>
      </c>
      <c r="DW61" s="33">
        <f t="shared" si="42"/>
        <v>0</v>
      </c>
      <c r="DX61" s="33">
        <f t="shared" si="42"/>
        <v>0</v>
      </c>
      <c r="DY61" s="33">
        <f t="shared" si="42"/>
        <v>0</v>
      </c>
      <c r="DZ61" s="33">
        <f t="shared" si="42"/>
        <v>0</v>
      </c>
      <c r="EA61" s="33">
        <f t="shared" si="42"/>
        <v>0</v>
      </c>
      <c r="EB61" s="33">
        <f t="shared" si="42"/>
        <v>0</v>
      </c>
      <c r="EC61" s="33">
        <f t="shared" si="42"/>
        <v>0</v>
      </c>
      <c r="ED61" s="33">
        <f t="shared" si="42"/>
        <v>0</v>
      </c>
      <c r="EE61" s="33">
        <f t="shared" si="42"/>
        <v>35000</v>
      </c>
      <c r="EF61" s="33">
        <f t="shared" si="42"/>
        <v>0</v>
      </c>
      <c r="EG61" s="33">
        <f t="shared" si="42"/>
        <v>35000</v>
      </c>
      <c r="EH61" s="33">
        <f t="shared" si="42"/>
        <v>0</v>
      </c>
      <c r="EI61" s="33">
        <f t="shared" si="42"/>
        <v>0</v>
      </c>
      <c r="EJ61" s="3"/>
      <c r="EK61" s="3"/>
    </row>
    <row r="62" spans="1:141" x14ac:dyDescent="0.25">
      <c r="A62" s="3"/>
      <c r="B62" s="3"/>
      <c r="C62" s="3"/>
      <c r="D62" s="3"/>
      <c r="E62" s="3"/>
      <c r="F62" s="3"/>
      <c r="G62" s="3"/>
      <c r="H62" s="3"/>
      <c r="I62" s="3"/>
      <c r="J62" s="21" t="str">
        <f>структура!$P$12</f>
        <v>контроль</v>
      </c>
      <c r="K62" s="21"/>
      <c r="L62" s="21"/>
      <c r="M62" s="21"/>
      <c r="N62" s="21"/>
      <c r="O62" s="21"/>
      <c r="P62" s="21"/>
      <c r="Q62" s="49">
        <f>Q61-Q15</f>
        <v>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</row>
    <row r="63" spans="1:141" x14ac:dyDescent="0.25">
      <c r="A63" s="3"/>
      <c r="B63" s="3"/>
      <c r="C63" s="3"/>
      <c r="D63" s="3"/>
      <c r="E63" s="3"/>
      <c r="F63" s="10" t="str">
        <f>KPI!$F$58</f>
        <v>ввод в эксплуатацию объектов масштабирования производства</v>
      </c>
      <c r="G63" s="3"/>
      <c r="H63" s="3"/>
      <c r="I63" s="3"/>
      <c r="J63" s="5" t="str">
        <f>IF($F63="","",INDEX(KPI!$I$11:$I$275,SUMIFS(KPI!$E$11:$E$275,KPI!$F$11:$F$275,$F63)))</f>
        <v>тыс.руб.</v>
      </c>
      <c r="K63" s="3"/>
      <c r="L63" s="3"/>
      <c r="M63" s="3"/>
      <c r="N63" s="3"/>
      <c r="O63" s="3"/>
      <c r="P63" s="3"/>
      <c r="Q63" s="12">
        <f>SUM(S63:EJ63)</f>
        <v>138696.64053424765</v>
      </c>
      <c r="R63" s="3"/>
      <c r="S63" s="3"/>
      <c r="T63" s="33">
        <f>SUMPRODUCT($T$55:T$55,$EI$61:$EI$61)</f>
        <v>0</v>
      </c>
      <c r="U63" s="33">
        <f>SUMPRODUCT($T$55:U$55,$EH$61:$EI$61)</f>
        <v>0</v>
      </c>
      <c r="V63" s="33">
        <f>SUMPRODUCT($T$55:V$55,$EG$61:$EI$61)</f>
        <v>0</v>
      </c>
      <c r="W63" s="33">
        <f>SUMPRODUCT($T$55:W$55,$EF$61:$EI$61)</f>
        <v>0</v>
      </c>
      <c r="X63" s="33">
        <f>SUMPRODUCT($T$55:X$55,$EE$61:$EI$61)</f>
        <v>0</v>
      </c>
      <c r="Y63" s="33">
        <f>SUMPRODUCT($T$55:Y$55,$ED$61:$EI$61)</f>
        <v>0</v>
      </c>
      <c r="Z63" s="33">
        <f>SUMPRODUCT($T$55:Z$55,$EC$61:$EI$61)</f>
        <v>0</v>
      </c>
      <c r="AA63" s="33">
        <f>SUMPRODUCT($T$55:AA$55,$EB$61:$EI$61)</f>
        <v>0</v>
      </c>
      <c r="AB63" s="33">
        <f>SUMPRODUCT($T$55:AB$55,$EA$61:$EI$61)</f>
        <v>0</v>
      </c>
      <c r="AC63" s="33">
        <f>SUMPRODUCT($T$55:AC$55,$DZ$61:$EI$61)</f>
        <v>0</v>
      </c>
      <c r="AD63" s="33">
        <f>SUMPRODUCT($T$55:AD$55,$DY$61:$EI$61)</f>
        <v>0</v>
      </c>
      <c r="AE63" s="33">
        <f>SUMPRODUCT($T$55:AE$55,$DX$61:$EI$61)</f>
        <v>0</v>
      </c>
      <c r="AF63" s="33">
        <f>SUMPRODUCT($T$55:AF$55,$DW$61:$EI$61)</f>
        <v>0</v>
      </c>
      <c r="AG63" s="33">
        <f>SUMPRODUCT($T$55:AG$55,$DV$61:$EI$61)</f>
        <v>0</v>
      </c>
      <c r="AH63" s="33">
        <f>SUMPRODUCT($T$55:AH$55,$DU$61:$EI$61)</f>
        <v>0</v>
      </c>
      <c r="AI63" s="33">
        <f>SUMPRODUCT($T$55:AI$55,$DT$61:$EI$61)</f>
        <v>0</v>
      </c>
      <c r="AJ63" s="33">
        <f>SUMPRODUCT($T$55:AJ$55,$DS$61:$EI$61)</f>
        <v>0</v>
      </c>
      <c r="AK63" s="33">
        <f>SUMPRODUCT($T$55:AK$55,$DR$61:$EI$61)</f>
        <v>0</v>
      </c>
      <c r="AL63" s="33">
        <f>SUMPRODUCT($T$55:AL$55,$DQ$61:$EI$61)</f>
        <v>0</v>
      </c>
      <c r="AM63" s="33">
        <f>SUMPRODUCT($T$55:AM$55,$DP$61:$EI$61)</f>
        <v>0</v>
      </c>
      <c r="AN63" s="33">
        <f>SUMPRODUCT($T$55:AN$55,$DO$61:$EI$61)</f>
        <v>0</v>
      </c>
      <c r="AO63" s="33">
        <f>SUMPRODUCT($T$55:AO$55,$DN$61:$EI$61)</f>
        <v>0</v>
      </c>
      <c r="AP63" s="33">
        <f>SUMPRODUCT($T$55:AP$55,$DM$61:$EI$61)</f>
        <v>0</v>
      </c>
      <c r="AQ63" s="33">
        <f>SUMPRODUCT($T$55:AQ$55,$DL$61:$EI$61)</f>
        <v>0</v>
      </c>
      <c r="AR63" s="33">
        <f>SUMPRODUCT($T$55:AR$55,$DK$61:$EI$61)</f>
        <v>0</v>
      </c>
      <c r="AS63" s="33">
        <f>SUMPRODUCT($T$55:AS$55,$DJ$61:$EI$61)</f>
        <v>0</v>
      </c>
      <c r="AT63" s="33">
        <f>SUMPRODUCT($T$55:AT$55,$DI$61:$EI$61)</f>
        <v>0</v>
      </c>
      <c r="AU63" s="33">
        <f>SUMPRODUCT($T$55:AU$55,$DH$61:$EI$61)</f>
        <v>0</v>
      </c>
      <c r="AV63" s="33">
        <f>SUMPRODUCT($T$55:AV$55,$DG$61:$EI$61)</f>
        <v>0</v>
      </c>
      <c r="AW63" s="33">
        <f>SUMPRODUCT($T$55:AW$55,$DF$61:$EI$61)</f>
        <v>0</v>
      </c>
      <c r="AX63" s="33">
        <f>SUMPRODUCT($T$55:AX$55,$DE$61:$EI$61)</f>
        <v>0</v>
      </c>
      <c r="AY63" s="33">
        <f>SUMPRODUCT($T$55:AY$55,$DD$61:$EI$61)</f>
        <v>0</v>
      </c>
      <c r="AZ63" s="33">
        <f>SUMPRODUCT($T$55:AZ$55,$DC$61:$EI$61)</f>
        <v>0</v>
      </c>
      <c r="BA63" s="33">
        <f>SUMPRODUCT($T$55:BA$55,$DB$61:$EI$61)</f>
        <v>0</v>
      </c>
      <c r="BB63" s="33">
        <f>SUMPRODUCT($T$55:BB$55,$DA$61:$EI$61)</f>
        <v>0</v>
      </c>
      <c r="BC63" s="33">
        <f>SUMPRODUCT($T$55:BC$55,$CZ$61:$EI$61)</f>
        <v>0</v>
      </c>
      <c r="BD63" s="33">
        <f>SUMPRODUCT($T$55:BD$55,$CY$61:$EI$61)</f>
        <v>0</v>
      </c>
      <c r="BE63" s="33">
        <f>SUMPRODUCT($T$55:BE$55,$CX$61:$EI$61)</f>
        <v>0</v>
      </c>
      <c r="BF63" s="33">
        <f>SUMPRODUCT($T$55:BF$55,$CW$61:$EI$61)</f>
        <v>0</v>
      </c>
      <c r="BG63" s="33">
        <f>SUMPRODUCT($T$55:BG$55,$CV$61:$EI$61)</f>
        <v>0</v>
      </c>
      <c r="BH63" s="33">
        <f>SUMPRODUCT($T$55:BH$55,$CU$61:$EI$61)</f>
        <v>0</v>
      </c>
      <c r="BI63" s="33">
        <f>SUMPRODUCT($T$55:BI$55,$CT$61:$EI$61)</f>
        <v>0</v>
      </c>
      <c r="BJ63" s="33">
        <f>SUMPRODUCT($T$55:BJ$55,$CS$61:$EI$61)</f>
        <v>0</v>
      </c>
      <c r="BK63" s="33">
        <f>SUMPRODUCT($T$55:BK$55,$CR$61:$EI$61)</f>
        <v>0</v>
      </c>
      <c r="BL63" s="33">
        <f>SUMPRODUCT($T$55:BL$55,$CQ$61:$EI$61)</f>
        <v>0</v>
      </c>
      <c r="BM63" s="33">
        <f>SUMPRODUCT($T$55:BM$55,$CP$61:$EI$61)</f>
        <v>0</v>
      </c>
      <c r="BN63" s="33">
        <f>SUMPRODUCT($T$55:BN$55,$CO$61:$EI$61)</f>
        <v>0</v>
      </c>
      <c r="BO63" s="33">
        <f>SUMPRODUCT($T$55:BO$55,$CN$61:$EI$61)</f>
        <v>0</v>
      </c>
      <c r="BP63" s="33">
        <f>SUMPRODUCT($T$55:BP$55,$CM$61:$EI$61)</f>
        <v>0</v>
      </c>
      <c r="BQ63" s="33">
        <f>SUMPRODUCT($T$55:BQ$55,$CL$61:$EI$61)</f>
        <v>0</v>
      </c>
      <c r="BR63" s="33">
        <f>SUMPRODUCT($T$55:BR$55,$CK$61:$EI$61)</f>
        <v>0</v>
      </c>
      <c r="BS63" s="33">
        <f>SUMPRODUCT($T$55:BS$55,$CJ$61:$EI$61)</f>
        <v>0</v>
      </c>
      <c r="BT63" s="33">
        <f>SUMPRODUCT($T$55:BT$55,$CI$61:$EI$61)</f>
        <v>0</v>
      </c>
      <c r="BU63" s="33">
        <f>SUMPRODUCT($T$55:BU$55,$CH$61:$EI$61)</f>
        <v>0</v>
      </c>
      <c r="BV63" s="33">
        <f>SUMPRODUCT($T$55:BV$55,$CG$61:$EI$61)</f>
        <v>0</v>
      </c>
      <c r="BW63" s="33">
        <f>SUMPRODUCT($T$55:BW$55,$CF$61:$EI$61)</f>
        <v>31814.366710000009</v>
      </c>
      <c r="BX63" s="33">
        <f>SUMPRODUCT($T$55:BX$55,$CE$61:$EI$61)</f>
        <v>0</v>
      </c>
      <c r="BY63" s="33">
        <f>SUMPRODUCT($T$55:BY$55,$CD$61:$EI$61)</f>
        <v>31814.366710000009</v>
      </c>
      <c r="BZ63" s="33">
        <f>SUMPRODUCT($T$55:BZ$55,$CC$61:$EI$61)</f>
        <v>0</v>
      </c>
      <c r="CA63" s="33">
        <f>SUMPRODUCT($T$55:CA$55,$CB$61:$EI$61)</f>
        <v>0</v>
      </c>
      <c r="CB63" s="33">
        <f>SUMPRODUCT($T$55:CB$55,$CA$61:$EI$61)</f>
        <v>0</v>
      </c>
      <c r="CC63" s="33">
        <f>SUMPRODUCT($T$55:CC$55,$BZ$61:$EI$61)</f>
        <v>0</v>
      </c>
      <c r="CD63" s="33">
        <f>SUMPRODUCT($T$55:CD$55,$BY$61:$EI$61)</f>
        <v>0</v>
      </c>
      <c r="CE63" s="33">
        <f>SUMPRODUCT($T$55:CE$55,$BX$61:$EI$61)</f>
        <v>0</v>
      </c>
      <c r="CF63" s="33">
        <f>SUMPRODUCT($T$55:CF$55,$BW$61:$EI$61)</f>
        <v>0</v>
      </c>
      <c r="CG63" s="33">
        <f>SUMPRODUCT($T$55:CG$55,$BV$61:$EI$61)</f>
        <v>0</v>
      </c>
      <c r="CH63" s="33">
        <f>SUMPRODUCT($T$55:CH$55,$BU$61:$EI$61)</f>
        <v>0</v>
      </c>
      <c r="CI63" s="33">
        <f>SUMPRODUCT($T$55:CI$55,$BT$61:$EI$61)</f>
        <v>0</v>
      </c>
      <c r="CJ63" s="33">
        <f>SUMPRODUCT($T$55:CJ$55,$BS$61:$EI$61)</f>
        <v>0</v>
      </c>
      <c r="CK63" s="33">
        <f>SUMPRODUCT($T$55:CK$55,$BR$61:$EI$61)</f>
        <v>0</v>
      </c>
      <c r="CL63" s="33">
        <f>SUMPRODUCT($T$55:CL$55,$BQ$61:$EI$61)</f>
        <v>0</v>
      </c>
      <c r="CM63" s="33">
        <f>SUMPRODUCT($T$55:CM$55,$BP$61:$EI$61)</f>
        <v>0</v>
      </c>
      <c r="CN63" s="33">
        <f>SUMPRODUCT($T$55:CN$55,$BO$61:$EI$61)</f>
        <v>0</v>
      </c>
      <c r="CO63" s="33">
        <f>SUMPRODUCT($T$55:CO$55,$BN$61:$EI$61)</f>
        <v>0</v>
      </c>
      <c r="CP63" s="33">
        <f>SUMPRODUCT($T$55:CP$55,$BM$61:$EI$61)</f>
        <v>0</v>
      </c>
      <c r="CQ63" s="33">
        <f>SUMPRODUCT($T$55:CQ$55,$BL$61:$EI$61)</f>
        <v>0</v>
      </c>
      <c r="CR63" s="33">
        <f>SUMPRODUCT($T$55:CR$55,$BK$61:$EI$61)</f>
        <v>0</v>
      </c>
      <c r="CS63" s="33">
        <f>SUMPRODUCT($T$55:CS$55,$BJ$61:$EI$61)</f>
        <v>0</v>
      </c>
      <c r="CT63" s="33">
        <f>SUMPRODUCT($T$55:CT$55,$BI$61:$EI$61)</f>
        <v>0</v>
      </c>
      <c r="CU63" s="33">
        <f>SUMPRODUCT($T$55:CU$55,$BH$61:$EI$61)</f>
        <v>0</v>
      </c>
      <c r="CV63" s="33">
        <f>SUMPRODUCT($T$55:CV$55,$BG$61:$EI$61)</f>
        <v>0</v>
      </c>
      <c r="CW63" s="33">
        <f>SUMPRODUCT($T$55:CW$55,$BF$61:$EI$61)</f>
        <v>0</v>
      </c>
      <c r="CX63" s="33">
        <f>SUMPRODUCT($T$55:CX$55,$BE$61:$EI$61)</f>
        <v>0</v>
      </c>
      <c r="CY63" s="33">
        <f>SUMPRODUCT($T$55:CY$55,$BD$61:$EI$61)</f>
        <v>0</v>
      </c>
      <c r="CZ63" s="33">
        <f>SUMPRODUCT($T$55:CZ$55,$BC$61:$EI$61)</f>
        <v>0</v>
      </c>
      <c r="DA63" s="33">
        <f>SUMPRODUCT($T$55:DA$55,$BB$61:$EI$61)</f>
        <v>0</v>
      </c>
      <c r="DB63" s="33">
        <f>SUMPRODUCT($T$55:DB$55,$BA$61:$EI$61)</f>
        <v>0</v>
      </c>
      <c r="DC63" s="33">
        <f>SUMPRODUCT($T$55:DC$55,$AZ$61:$EI$61)</f>
        <v>0</v>
      </c>
      <c r="DD63" s="33">
        <f>SUMPRODUCT($T$55:DD$55,$AY$61:$EI$61)</f>
        <v>0</v>
      </c>
      <c r="DE63" s="33">
        <f>SUMPRODUCT($T$55:DE$55,$AX$61:$EI$61)</f>
        <v>0</v>
      </c>
      <c r="DF63" s="33">
        <f>SUMPRODUCT($T$55:DF$55,$AW$61:$EI$61)</f>
        <v>0</v>
      </c>
      <c r="DG63" s="33">
        <f>SUMPRODUCT($T$55:DG$55,$AV$61:$EI$61)</f>
        <v>0</v>
      </c>
      <c r="DH63" s="33">
        <f>SUMPRODUCT($T$55:DH$55,$AU$61:$EI$61)</f>
        <v>37533.953557123816</v>
      </c>
      <c r="DI63" s="33">
        <f>SUMPRODUCT($T$55:DI$55,$AT$61:$EI$61)</f>
        <v>0</v>
      </c>
      <c r="DJ63" s="33">
        <f>SUMPRODUCT($T$55:DJ$55,$AS$61:$EI$61)</f>
        <v>37533.953557123816</v>
      </c>
      <c r="DK63" s="33">
        <f>SUMPRODUCT($T$55:DK$55,$AR$61:$EI$61)</f>
        <v>0</v>
      </c>
      <c r="DL63" s="33">
        <f>SUMPRODUCT($T$55:DL$55,$AQ$61:$EI$61)</f>
        <v>0</v>
      </c>
      <c r="DM63" s="33">
        <f>SUMPRODUCT($T$55:DM$55,$AP$61:$EI$61)</f>
        <v>0</v>
      </c>
      <c r="DN63" s="33">
        <f>SUMPRODUCT($T$55:DN$55,$AO$61:$EI$61)</f>
        <v>0</v>
      </c>
      <c r="DO63" s="33">
        <f>SUMPRODUCT($T$55:DO$55,$AN$61:$EI$61)</f>
        <v>0</v>
      </c>
      <c r="DP63" s="33">
        <f>SUMPRODUCT($T$55:DP$55,$AM$61:$EI$61)</f>
        <v>0</v>
      </c>
      <c r="DQ63" s="33">
        <f>SUMPRODUCT($T$55:DQ$55,$AL$61:$EI$61)</f>
        <v>0</v>
      </c>
      <c r="DR63" s="33">
        <f>SUMPRODUCT($T$55:DR$55,$AK$61:$EI$61)</f>
        <v>0</v>
      </c>
      <c r="DS63" s="33">
        <f>SUMPRODUCT($T$55:DS$55,$AJ$61:$EI$61)</f>
        <v>0</v>
      </c>
      <c r="DT63" s="33">
        <f>SUMPRODUCT($T$55:DT$55,$AI$61:$EI$61)</f>
        <v>0</v>
      </c>
      <c r="DU63" s="33">
        <f>SUMPRODUCT($T$55:DU$55,$AH$61:$EI$61)</f>
        <v>0</v>
      </c>
      <c r="DV63" s="33">
        <f>SUMPRODUCT($T$55:DV$55,$AG$61:$EI$61)</f>
        <v>0</v>
      </c>
      <c r="DW63" s="33">
        <f>SUMPRODUCT($T$55:DW$55,$AF$61:$EI$61)</f>
        <v>0</v>
      </c>
      <c r="DX63" s="33">
        <f>SUMPRODUCT($T$55:DX$55,$AE$61:$EI$61)</f>
        <v>0</v>
      </c>
      <c r="DY63" s="33">
        <f>SUMPRODUCT($T$55:DY$55,$AD$61:$EI$61)</f>
        <v>0</v>
      </c>
      <c r="DZ63" s="33">
        <f>SUMPRODUCT($T$55:DZ$55,$AC$61:$EI$61)</f>
        <v>0</v>
      </c>
      <c r="EA63" s="33">
        <f>SUMPRODUCT($T$55:EA$55,$AB$61:$EI$61)</f>
        <v>0</v>
      </c>
      <c r="EB63" s="33">
        <f>SUMPRODUCT($T$55:EB$55,$AA$61:$EI$61)</f>
        <v>0</v>
      </c>
      <c r="EC63" s="33">
        <f>SUMPRODUCT($T$55:EC$55,$Z$61:$EI$61)</f>
        <v>0</v>
      </c>
      <c r="ED63" s="33">
        <f>SUMPRODUCT($T$55:ED$55,$Y$61:$EI$61)</f>
        <v>0</v>
      </c>
      <c r="EE63" s="33">
        <f>SUMPRODUCT($T$55:EE$55,$X$61:$EI$61)</f>
        <v>0</v>
      </c>
      <c r="EF63" s="33">
        <f>SUMPRODUCT($T$55:EF$55,$W$61:$EI$61)</f>
        <v>0</v>
      </c>
      <c r="EG63" s="33">
        <f>SUMPRODUCT($T$55:EG$55,$V$61:$EI$61)</f>
        <v>0</v>
      </c>
      <c r="EH63" s="33">
        <f>SUMPRODUCT($T$55:EH$55,$U$61:$EI$61)</f>
        <v>0</v>
      </c>
      <c r="EI63" s="33">
        <f>SUMPRODUCT($T$55:EI$55,$T$61:$EI$61)</f>
        <v>0</v>
      </c>
      <c r="EJ63" s="3"/>
      <c r="EK63" s="3"/>
    </row>
    <row r="64" spans="1:141" x14ac:dyDescent="0.25">
      <c r="A64" s="3"/>
      <c r="B64" s="3"/>
      <c r="C64" s="3"/>
      <c r="D64" s="3"/>
      <c r="E64" s="3"/>
      <c r="F64" s="3"/>
      <c r="G64" s="3"/>
      <c r="H64" s="3"/>
      <c r="I64" s="3"/>
      <c r="J64" s="21" t="str">
        <f>структура!$P$12</f>
        <v>контроль</v>
      </c>
      <c r="K64" s="21"/>
      <c r="L64" s="21"/>
      <c r="M64" s="21"/>
      <c r="N64" s="21"/>
      <c r="O64" s="21"/>
      <c r="P64" s="21"/>
      <c r="Q64" s="49">
        <f>Q63-Q59</f>
        <v>0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</row>
    <row r="65" spans="1:141" x14ac:dyDescent="0.25">
      <c r="A65" s="3"/>
      <c r="B65" s="3"/>
      <c r="C65" s="3"/>
      <c r="D65" s="3"/>
      <c r="E65" s="3"/>
      <c r="F65" s="10" t="str">
        <f>KPI!$F$59</f>
        <v>обратное распределение амортизации кап. затрат</v>
      </c>
      <c r="G65" s="3"/>
      <c r="H65" s="3"/>
      <c r="I65" s="3"/>
      <c r="J65" s="5" t="str">
        <f>IF($F65="","",INDEX(KPI!$I$11:$I$275,SUMIFS(KPI!$E$11:$E$275,KPI!$F$11:$F$275,$F65)))</f>
        <v>тыс.руб.</v>
      </c>
      <c r="K65" s="3"/>
      <c r="L65" s="3"/>
      <c r="M65" s="3"/>
      <c r="N65" s="3"/>
      <c r="O65" s="3"/>
      <c r="P65" s="3"/>
      <c r="Q65" s="12">
        <f>SUM(S65:EJ65)</f>
        <v>68250.000000000102</v>
      </c>
      <c r="R65" s="3"/>
      <c r="S65" s="3"/>
      <c r="T65" s="33">
        <f t="shared" ref="T65:AY65" si="43">SUMIFS($19:$19,$1:$1,T$16)</f>
        <v>583.33333333333337</v>
      </c>
      <c r="U65" s="33">
        <f t="shared" si="43"/>
        <v>583.33333333333337</v>
      </c>
      <c r="V65" s="33">
        <f t="shared" si="43"/>
        <v>583.33333333333337</v>
      </c>
      <c r="W65" s="33">
        <f t="shared" si="43"/>
        <v>583.33333333333337</v>
      </c>
      <c r="X65" s="33">
        <f t="shared" si="43"/>
        <v>583.33333333333337</v>
      </c>
      <c r="Y65" s="33">
        <f t="shared" si="43"/>
        <v>583.33333333333337</v>
      </c>
      <c r="Z65" s="33">
        <f t="shared" si="43"/>
        <v>583.33333333333337</v>
      </c>
      <c r="AA65" s="33">
        <f t="shared" si="43"/>
        <v>583.33333333333337</v>
      </c>
      <c r="AB65" s="33">
        <f t="shared" si="43"/>
        <v>583.33333333333337</v>
      </c>
      <c r="AC65" s="33">
        <f t="shared" si="43"/>
        <v>583.33333333333337</v>
      </c>
      <c r="AD65" s="33">
        <f t="shared" si="43"/>
        <v>583.33333333333337</v>
      </c>
      <c r="AE65" s="33">
        <f t="shared" si="43"/>
        <v>583.33333333333337</v>
      </c>
      <c r="AF65" s="33">
        <f t="shared" si="43"/>
        <v>583.33333333333337</v>
      </c>
      <c r="AG65" s="33">
        <f t="shared" si="43"/>
        <v>583.33333333333337</v>
      </c>
      <c r="AH65" s="33">
        <f t="shared" si="43"/>
        <v>583.33333333333337</v>
      </c>
      <c r="AI65" s="33">
        <f t="shared" si="43"/>
        <v>583.33333333333337</v>
      </c>
      <c r="AJ65" s="33">
        <f t="shared" si="43"/>
        <v>583.33333333333337</v>
      </c>
      <c r="AK65" s="33">
        <f t="shared" si="43"/>
        <v>583.33333333333337</v>
      </c>
      <c r="AL65" s="33">
        <f t="shared" si="43"/>
        <v>583.33333333333337</v>
      </c>
      <c r="AM65" s="33">
        <f t="shared" si="43"/>
        <v>583.33333333333337</v>
      </c>
      <c r="AN65" s="33">
        <f t="shared" si="43"/>
        <v>583.33333333333337</v>
      </c>
      <c r="AO65" s="33">
        <f t="shared" si="43"/>
        <v>583.33333333333337</v>
      </c>
      <c r="AP65" s="33">
        <f t="shared" si="43"/>
        <v>583.33333333333337</v>
      </c>
      <c r="AQ65" s="33">
        <f t="shared" si="43"/>
        <v>583.33333333333337</v>
      </c>
      <c r="AR65" s="33">
        <f t="shared" si="43"/>
        <v>583.33333333333337</v>
      </c>
      <c r="AS65" s="33">
        <f t="shared" si="43"/>
        <v>583.33333333333337</v>
      </c>
      <c r="AT65" s="33">
        <f t="shared" si="43"/>
        <v>583.33333333333337</v>
      </c>
      <c r="AU65" s="33">
        <f t="shared" si="43"/>
        <v>583.33333333333337</v>
      </c>
      <c r="AV65" s="33">
        <f t="shared" si="43"/>
        <v>583.33333333333337</v>
      </c>
      <c r="AW65" s="33">
        <f t="shared" si="43"/>
        <v>583.33333333333337</v>
      </c>
      <c r="AX65" s="33">
        <f t="shared" si="43"/>
        <v>583.33333333333337</v>
      </c>
      <c r="AY65" s="33">
        <f t="shared" si="43"/>
        <v>583.33333333333337</v>
      </c>
      <c r="AZ65" s="33">
        <f t="shared" ref="AZ65:CE65" si="44">SUMIFS($19:$19,$1:$1,AZ$16)</f>
        <v>583.33333333333337</v>
      </c>
      <c r="BA65" s="33">
        <f t="shared" si="44"/>
        <v>583.33333333333337</v>
      </c>
      <c r="BB65" s="33">
        <f t="shared" si="44"/>
        <v>583.33333333333337</v>
      </c>
      <c r="BC65" s="33">
        <f t="shared" si="44"/>
        <v>583.33333333333337</v>
      </c>
      <c r="BD65" s="33">
        <f t="shared" si="44"/>
        <v>583.33333333333337</v>
      </c>
      <c r="BE65" s="33">
        <f t="shared" si="44"/>
        <v>583.33333333333337</v>
      </c>
      <c r="BF65" s="33">
        <f t="shared" si="44"/>
        <v>583.33333333333337</v>
      </c>
      <c r="BG65" s="33">
        <f t="shared" si="44"/>
        <v>583.33333333333337</v>
      </c>
      <c r="BH65" s="33">
        <f t="shared" si="44"/>
        <v>583.33333333333337</v>
      </c>
      <c r="BI65" s="33">
        <f t="shared" si="44"/>
        <v>583.33333333333337</v>
      </c>
      <c r="BJ65" s="33">
        <f t="shared" si="44"/>
        <v>583.33333333333337</v>
      </c>
      <c r="BK65" s="33">
        <f t="shared" si="44"/>
        <v>583.33333333333337</v>
      </c>
      <c r="BL65" s="33">
        <f t="shared" si="44"/>
        <v>583.33333333333337</v>
      </c>
      <c r="BM65" s="33">
        <f t="shared" si="44"/>
        <v>583.33333333333337</v>
      </c>
      <c r="BN65" s="33">
        <f t="shared" si="44"/>
        <v>583.33333333333337</v>
      </c>
      <c r="BO65" s="33">
        <f t="shared" si="44"/>
        <v>583.33333333333337</v>
      </c>
      <c r="BP65" s="33">
        <f t="shared" si="44"/>
        <v>583.33333333333337</v>
      </c>
      <c r="BQ65" s="33">
        <f t="shared" si="44"/>
        <v>583.33333333333337</v>
      </c>
      <c r="BR65" s="33">
        <f t="shared" si="44"/>
        <v>583.33333333333337</v>
      </c>
      <c r="BS65" s="33">
        <f t="shared" si="44"/>
        <v>583.33333333333337</v>
      </c>
      <c r="BT65" s="33">
        <f t="shared" si="44"/>
        <v>583.33333333333337</v>
      </c>
      <c r="BU65" s="33">
        <f t="shared" si="44"/>
        <v>583.33333333333337</v>
      </c>
      <c r="BV65" s="33">
        <f t="shared" si="44"/>
        <v>583.33333333333337</v>
      </c>
      <c r="BW65" s="33">
        <f t="shared" si="44"/>
        <v>583.33333333333337</v>
      </c>
      <c r="BX65" s="33">
        <f t="shared" si="44"/>
        <v>583.33333333333337</v>
      </c>
      <c r="BY65" s="33">
        <f t="shared" si="44"/>
        <v>583.33333333333337</v>
      </c>
      <c r="BZ65" s="33">
        <f t="shared" si="44"/>
        <v>583.33333333333337</v>
      </c>
      <c r="CA65" s="33">
        <f t="shared" si="44"/>
        <v>583.33333333333337</v>
      </c>
      <c r="CB65" s="33">
        <f t="shared" si="44"/>
        <v>583.33333333333337</v>
      </c>
      <c r="CC65" s="33">
        <f t="shared" si="44"/>
        <v>583.33333333333337</v>
      </c>
      <c r="CD65" s="33">
        <f t="shared" si="44"/>
        <v>583.33333333333337</v>
      </c>
      <c r="CE65" s="33">
        <f t="shared" si="44"/>
        <v>583.33333333333337</v>
      </c>
      <c r="CF65" s="33">
        <f t="shared" ref="CF65:DK65" si="45">SUMIFS($19:$19,$1:$1,CF$16)</f>
        <v>583.33333333333337</v>
      </c>
      <c r="CG65" s="33">
        <f t="shared" si="45"/>
        <v>583.33333333333337</v>
      </c>
      <c r="CH65" s="33">
        <f t="shared" si="45"/>
        <v>583.33333333333337</v>
      </c>
      <c r="CI65" s="33">
        <f t="shared" si="45"/>
        <v>583.33333333333337</v>
      </c>
      <c r="CJ65" s="33">
        <f t="shared" si="45"/>
        <v>583.33333333333337</v>
      </c>
      <c r="CK65" s="33">
        <f t="shared" si="45"/>
        <v>583.33333333333337</v>
      </c>
      <c r="CL65" s="33">
        <f t="shared" si="45"/>
        <v>583.33333333333337</v>
      </c>
      <c r="CM65" s="33">
        <f t="shared" si="45"/>
        <v>583.33333333333337</v>
      </c>
      <c r="CN65" s="33">
        <f t="shared" si="45"/>
        <v>583.33333333333337</v>
      </c>
      <c r="CO65" s="33">
        <f t="shared" si="45"/>
        <v>583.33333333333337</v>
      </c>
      <c r="CP65" s="33">
        <f t="shared" si="45"/>
        <v>583.33333333333337</v>
      </c>
      <c r="CQ65" s="33">
        <f t="shared" si="45"/>
        <v>583.33333333333337</v>
      </c>
      <c r="CR65" s="33">
        <f t="shared" si="45"/>
        <v>583.33333333333337</v>
      </c>
      <c r="CS65" s="33">
        <f t="shared" si="45"/>
        <v>583.33333333333337</v>
      </c>
      <c r="CT65" s="33">
        <f t="shared" si="45"/>
        <v>583.33333333333337</v>
      </c>
      <c r="CU65" s="33">
        <f t="shared" si="45"/>
        <v>583.33333333333337</v>
      </c>
      <c r="CV65" s="33">
        <f t="shared" si="45"/>
        <v>583.33333333333337</v>
      </c>
      <c r="CW65" s="33">
        <f t="shared" si="45"/>
        <v>583.33333333333337</v>
      </c>
      <c r="CX65" s="33">
        <f t="shared" si="45"/>
        <v>583.33333333333337</v>
      </c>
      <c r="CY65" s="33">
        <f t="shared" si="45"/>
        <v>583.33333333333337</v>
      </c>
      <c r="CZ65" s="33">
        <f t="shared" si="45"/>
        <v>583.33333333333337</v>
      </c>
      <c r="DA65" s="33">
        <f t="shared" si="45"/>
        <v>583.33333333333337</v>
      </c>
      <c r="DB65" s="33">
        <f t="shared" si="45"/>
        <v>583.33333333333337</v>
      </c>
      <c r="DC65" s="33">
        <f t="shared" si="45"/>
        <v>583.33333333333337</v>
      </c>
      <c r="DD65" s="33">
        <f t="shared" si="45"/>
        <v>583.33333333333337</v>
      </c>
      <c r="DE65" s="33">
        <f t="shared" si="45"/>
        <v>583.33333333333337</v>
      </c>
      <c r="DF65" s="33">
        <f t="shared" si="45"/>
        <v>583.33333333333337</v>
      </c>
      <c r="DG65" s="33">
        <f t="shared" si="45"/>
        <v>583.33333333333337</v>
      </c>
      <c r="DH65" s="33">
        <f t="shared" si="45"/>
        <v>583.33333333333337</v>
      </c>
      <c r="DI65" s="33">
        <f t="shared" si="45"/>
        <v>583.33333333333337</v>
      </c>
      <c r="DJ65" s="33">
        <f t="shared" si="45"/>
        <v>583.33333333333337</v>
      </c>
      <c r="DK65" s="33">
        <f t="shared" si="45"/>
        <v>583.33333333333337</v>
      </c>
      <c r="DL65" s="33">
        <f t="shared" ref="DL65:EI65" si="46">SUMIFS($19:$19,$1:$1,DL$16)</f>
        <v>583.33333333333337</v>
      </c>
      <c r="DM65" s="33">
        <f t="shared" si="46"/>
        <v>583.33333333333337</v>
      </c>
      <c r="DN65" s="33">
        <f t="shared" si="46"/>
        <v>583.33333333333337</v>
      </c>
      <c r="DO65" s="33">
        <f t="shared" si="46"/>
        <v>583.33333333333337</v>
      </c>
      <c r="DP65" s="33">
        <f t="shared" si="46"/>
        <v>583.33333333333337</v>
      </c>
      <c r="DQ65" s="33">
        <f t="shared" si="46"/>
        <v>583.33333333333337</v>
      </c>
      <c r="DR65" s="33">
        <f t="shared" si="46"/>
        <v>583.33333333333337</v>
      </c>
      <c r="DS65" s="33">
        <f t="shared" si="46"/>
        <v>583.33333333333337</v>
      </c>
      <c r="DT65" s="33">
        <f t="shared" si="46"/>
        <v>583.33333333333337</v>
      </c>
      <c r="DU65" s="33">
        <f t="shared" si="46"/>
        <v>583.33333333333337</v>
      </c>
      <c r="DV65" s="33">
        <f t="shared" si="46"/>
        <v>583.33333333333337</v>
      </c>
      <c r="DW65" s="33">
        <f t="shared" si="46"/>
        <v>583.33333333333337</v>
      </c>
      <c r="DX65" s="33">
        <f t="shared" si="46"/>
        <v>583.33333333333337</v>
      </c>
      <c r="DY65" s="33">
        <f t="shared" si="46"/>
        <v>583.33333333333337</v>
      </c>
      <c r="DZ65" s="33">
        <f t="shared" si="46"/>
        <v>583.33333333333337</v>
      </c>
      <c r="EA65" s="33">
        <f t="shared" si="46"/>
        <v>583.33333333333337</v>
      </c>
      <c r="EB65" s="33">
        <f t="shared" si="46"/>
        <v>583.33333333333337</v>
      </c>
      <c r="EC65" s="33">
        <f t="shared" si="46"/>
        <v>583.33333333333337</v>
      </c>
      <c r="ED65" s="33">
        <f t="shared" si="46"/>
        <v>583.33333333333337</v>
      </c>
      <c r="EE65" s="33">
        <f t="shared" si="46"/>
        <v>583.33333333333337</v>
      </c>
      <c r="EF65" s="33">
        <f t="shared" si="46"/>
        <v>291.66666666666669</v>
      </c>
      <c r="EG65" s="33">
        <f t="shared" si="46"/>
        <v>291.66666666666669</v>
      </c>
      <c r="EH65" s="33">
        <f t="shared" si="46"/>
        <v>0</v>
      </c>
      <c r="EI65" s="33">
        <f t="shared" si="46"/>
        <v>0</v>
      </c>
      <c r="EJ65" s="3"/>
      <c r="EK65" s="3"/>
    </row>
    <row r="66" spans="1:141" x14ac:dyDescent="0.25">
      <c r="A66" s="3"/>
      <c r="B66" s="3"/>
      <c r="C66" s="3"/>
      <c r="D66" s="3"/>
      <c r="E66" s="3"/>
      <c r="F66" s="3"/>
      <c r="G66" s="3"/>
      <c r="H66" s="3"/>
      <c r="I66" s="3"/>
      <c r="J66" s="21" t="str">
        <f>структура!$P$12</f>
        <v>контроль</v>
      </c>
      <c r="K66" s="21"/>
      <c r="L66" s="21"/>
      <c r="M66" s="21"/>
      <c r="N66" s="21"/>
      <c r="O66" s="21"/>
      <c r="P66" s="21"/>
      <c r="Q66" s="49">
        <f>Q65-Q19</f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</row>
    <row r="67" spans="1:141" x14ac:dyDescent="0.25">
      <c r="A67" s="3"/>
      <c r="B67" s="3"/>
      <c r="C67" s="3"/>
      <c r="D67" s="3"/>
      <c r="E67" s="3"/>
      <c r="F67" s="10" t="str">
        <f>KPI!$F$60</f>
        <v>амортизация кап. затрат на масштабирование производства</v>
      </c>
      <c r="G67" s="3"/>
      <c r="H67" s="3"/>
      <c r="I67" s="3"/>
      <c r="J67" s="5" t="str">
        <f>IF($F67="","",INDEX(KPI!$I$11:$I$275,SUMIFS(KPI!$E$11:$E$275,KPI!$F$11:$F$275,$F67)))</f>
        <v>тыс.руб.</v>
      </c>
      <c r="K67" s="3"/>
      <c r="L67" s="3"/>
      <c r="M67" s="3"/>
      <c r="N67" s="3"/>
      <c r="O67" s="3"/>
      <c r="P67" s="3"/>
      <c r="Q67" s="12">
        <f>SUM(S67:EJ67)</f>
        <v>50825.603591372332</v>
      </c>
      <c r="R67" s="3"/>
      <c r="S67" s="3"/>
      <c r="T67" s="33">
        <f>SUMPRODUCT($T$55:T$55,$EI$65:$EI$65)</f>
        <v>0</v>
      </c>
      <c r="U67" s="33">
        <f>SUMPRODUCT($T$55:U$55,$EH$65:$EI$65)</f>
        <v>0</v>
      </c>
      <c r="V67" s="33">
        <f>SUMPRODUCT($T$55:V$55,$EG$65:$EI$65)</f>
        <v>0</v>
      </c>
      <c r="W67" s="33">
        <f>SUMPRODUCT($T$55:W$55,$EF$65:$EI$65)</f>
        <v>0</v>
      </c>
      <c r="X67" s="33">
        <f>SUMPRODUCT($T$55:X$55,$EE$65:$EI$65)</f>
        <v>0</v>
      </c>
      <c r="Y67" s="33">
        <f>SUMPRODUCT($T$55:Y$55,$ED$65:$EI$65)</f>
        <v>0</v>
      </c>
      <c r="Z67" s="33">
        <f>SUMPRODUCT($T$55:Z$55,$EC$65:$EI$65)</f>
        <v>0</v>
      </c>
      <c r="AA67" s="33">
        <f>SUMPRODUCT($T$55:AA$55,$EB$65:$EI$65)</f>
        <v>0</v>
      </c>
      <c r="AB67" s="33">
        <f>SUMPRODUCT($T$55:AB$55,$EA$65:$EI$65)</f>
        <v>0</v>
      </c>
      <c r="AC67" s="33">
        <f>SUMPRODUCT($T$55:AC$55,$DZ$65:$EI$65)</f>
        <v>0</v>
      </c>
      <c r="AD67" s="33">
        <f>SUMPRODUCT($T$55:AD$55,$DY$65:$EI$65)</f>
        <v>0</v>
      </c>
      <c r="AE67" s="33">
        <f>SUMPRODUCT($T$55:AE$55,$DX$65:$EI$65)</f>
        <v>0</v>
      </c>
      <c r="AF67" s="33">
        <f>SUMPRODUCT($T$55:AF$55,$DW$65:$EI$65)</f>
        <v>0</v>
      </c>
      <c r="AG67" s="33">
        <f>SUMPRODUCT($T$55:AG$55,$DV$65:$EI$65)</f>
        <v>0</v>
      </c>
      <c r="AH67" s="33">
        <f>SUMPRODUCT($T$55:AH$55,$DU$65:$EI$65)</f>
        <v>0</v>
      </c>
      <c r="AI67" s="33">
        <f>SUMPRODUCT($T$55:AI$55,$DT$65:$EI$65)</f>
        <v>0</v>
      </c>
      <c r="AJ67" s="33">
        <f>SUMPRODUCT($T$55:AJ$55,$DS$65:$EI$65)</f>
        <v>0</v>
      </c>
      <c r="AK67" s="33">
        <f>SUMPRODUCT($T$55:AK$55,$DR$65:$EI$65)</f>
        <v>0</v>
      </c>
      <c r="AL67" s="33">
        <f>SUMPRODUCT($T$55:AL$55,$DQ$65:$EI$65)</f>
        <v>0</v>
      </c>
      <c r="AM67" s="33">
        <f>SUMPRODUCT($T$55:AM$55,$DP$65:$EI$65)</f>
        <v>0</v>
      </c>
      <c r="AN67" s="33">
        <f>SUMPRODUCT($T$55:AN$55,$DO$65:$EI$65)</f>
        <v>0</v>
      </c>
      <c r="AO67" s="33">
        <f>SUMPRODUCT($T$55:AO$55,$DN$65:$EI$65)</f>
        <v>0</v>
      </c>
      <c r="AP67" s="33">
        <f>SUMPRODUCT($T$55:AP$55,$DM$65:$EI$65)</f>
        <v>0</v>
      </c>
      <c r="AQ67" s="33">
        <f>SUMPRODUCT($T$55:AQ$55,$DL$65:$EI$65)</f>
        <v>0</v>
      </c>
      <c r="AR67" s="33">
        <f>SUMPRODUCT($T$55:AR$55,$DK$65:$EI$65)</f>
        <v>0</v>
      </c>
      <c r="AS67" s="33">
        <f>SUMPRODUCT($T$55:AS$55,$DJ$65:$EI$65)</f>
        <v>0</v>
      </c>
      <c r="AT67" s="33">
        <f>SUMPRODUCT($T$55:AT$55,$DI$65:$EI$65)</f>
        <v>0</v>
      </c>
      <c r="AU67" s="33">
        <f>SUMPRODUCT($T$55:AU$55,$DH$65:$EI$65)</f>
        <v>0</v>
      </c>
      <c r="AV67" s="33">
        <f>SUMPRODUCT($T$55:AV$55,$DG$65:$EI$65)</f>
        <v>0</v>
      </c>
      <c r="AW67" s="33">
        <f>SUMPRODUCT($T$55:AW$55,$DF$65:$EI$65)</f>
        <v>0</v>
      </c>
      <c r="AX67" s="33">
        <f>SUMPRODUCT($T$55:AX$55,$DE$65:$EI$65)</f>
        <v>0</v>
      </c>
      <c r="AY67" s="33">
        <f>SUMPRODUCT($T$55:AY$55,$DD$65:$EI$65)</f>
        <v>0</v>
      </c>
      <c r="AZ67" s="33">
        <f>SUMPRODUCT($T$55:AZ$55,$DC$65:$EI$65)</f>
        <v>0</v>
      </c>
      <c r="BA67" s="33">
        <f>SUMPRODUCT($T$55:BA$55,$DB$65:$EI$65)</f>
        <v>0</v>
      </c>
      <c r="BB67" s="33">
        <f>SUMPRODUCT($T$55:BB$55,$DA$65:$EI$65)</f>
        <v>0</v>
      </c>
      <c r="BC67" s="33">
        <f>SUMPRODUCT($T$55:BC$55,$CZ$65:$EI$65)</f>
        <v>0</v>
      </c>
      <c r="BD67" s="33">
        <f>SUMPRODUCT($T$55:BD$55,$CY$65:$EI$65)</f>
        <v>0</v>
      </c>
      <c r="BE67" s="33">
        <f>SUMPRODUCT($T$55:BE$55,$CX$65:$EI$65)</f>
        <v>0</v>
      </c>
      <c r="BF67" s="33">
        <f>SUMPRODUCT($T$55:BF$55,$CW$65:$EI$65)</f>
        <v>0</v>
      </c>
      <c r="BG67" s="33">
        <f>SUMPRODUCT($T$55:BG$55,$CV$65:$EI$65)</f>
        <v>0</v>
      </c>
      <c r="BH67" s="33">
        <f>SUMPRODUCT($T$55:BH$55,$CU$65:$EI$65)</f>
        <v>0</v>
      </c>
      <c r="BI67" s="33">
        <f>SUMPRODUCT($T$55:BI$55,$CT$65:$EI$65)</f>
        <v>0</v>
      </c>
      <c r="BJ67" s="33">
        <f>SUMPRODUCT($T$55:BJ$55,$CS$65:$EI$65)</f>
        <v>0</v>
      </c>
      <c r="BK67" s="33">
        <f>SUMPRODUCT($T$55:BK$55,$CR$65:$EI$65)</f>
        <v>0</v>
      </c>
      <c r="BL67" s="33">
        <f>SUMPRODUCT($T$55:BL$55,$CQ$65:$EI$65)</f>
        <v>0</v>
      </c>
      <c r="BM67" s="33">
        <f>SUMPRODUCT($T$55:BM$55,$CP$65:$EI$65)</f>
        <v>0</v>
      </c>
      <c r="BN67" s="33">
        <f>SUMPRODUCT($T$55:BN$55,$CO$65:$EI$65)</f>
        <v>0</v>
      </c>
      <c r="BO67" s="33">
        <f>SUMPRODUCT($T$55:BO$55,$CN$65:$EI$65)</f>
        <v>0</v>
      </c>
      <c r="BP67" s="33">
        <f>SUMPRODUCT($T$55:BP$55,$CM$65:$EI$65)</f>
        <v>0</v>
      </c>
      <c r="BQ67" s="33">
        <f>SUMPRODUCT($T$55:BQ$55,$CL$65:$EI$65)</f>
        <v>0</v>
      </c>
      <c r="BR67" s="33">
        <f>SUMPRODUCT($T$55:BR$55,$CK$65:$EI$65)</f>
        <v>0</v>
      </c>
      <c r="BS67" s="33">
        <f>SUMPRODUCT($T$55:BS$55,$CJ$65:$EI$65)</f>
        <v>0</v>
      </c>
      <c r="BT67" s="33">
        <f>SUMPRODUCT($T$55:BT$55,$CI$65:$EI$65)</f>
        <v>0</v>
      </c>
      <c r="BU67" s="33">
        <f>SUMPRODUCT($T$55:BU$55,$CH$65:$EI$65)</f>
        <v>0</v>
      </c>
      <c r="BV67" s="33">
        <f>SUMPRODUCT($T$55:BV$55,$CG$65:$EI$65)</f>
        <v>0</v>
      </c>
      <c r="BW67" s="33">
        <f>SUMPRODUCT($T$55:BW$55,$CF$65:$EI$65)</f>
        <v>265.11972258333344</v>
      </c>
      <c r="BX67" s="33">
        <f>SUMPRODUCT($T$55:BX$55,$CE$65:$EI$65)</f>
        <v>265.11972258333344</v>
      </c>
      <c r="BY67" s="33">
        <f>SUMPRODUCT($T$55:BY$55,$CD$65:$EI$65)</f>
        <v>530.23944516666688</v>
      </c>
      <c r="BZ67" s="33">
        <f>SUMPRODUCT($T$55:BZ$55,$CC$65:$EI$65)</f>
        <v>530.23944516666688</v>
      </c>
      <c r="CA67" s="33">
        <f>SUMPRODUCT($T$55:CA$55,$CB$65:$EI$65)</f>
        <v>530.23944516666688</v>
      </c>
      <c r="CB67" s="33">
        <f>SUMPRODUCT($T$55:CB$55,$CA$65:$EI$65)</f>
        <v>530.23944516666688</v>
      </c>
      <c r="CC67" s="33">
        <f>SUMPRODUCT($T$55:CC$55,$BZ$65:$EI$65)</f>
        <v>530.23944516666688</v>
      </c>
      <c r="CD67" s="33">
        <f>SUMPRODUCT($T$55:CD$55,$BY$65:$EI$65)</f>
        <v>530.23944516666688</v>
      </c>
      <c r="CE67" s="33">
        <f>SUMPRODUCT($T$55:CE$55,$BX$65:$EI$65)</f>
        <v>530.23944516666688</v>
      </c>
      <c r="CF67" s="33">
        <f>SUMPRODUCT($T$55:CF$55,$BW$65:$EI$65)</f>
        <v>530.23944516666688</v>
      </c>
      <c r="CG67" s="33">
        <f>SUMPRODUCT($T$55:CG$55,$BV$65:$EI$65)</f>
        <v>530.23944516666688</v>
      </c>
      <c r="CH67" s="33">
        <f>SUMPRODUCT($T$55:CH$55,$BU$65:$EI$65)</f>
        <v>530.23944516666688</v>
      </c>
      <c r="CI67" s="33">
        <f>SUMPRODUCT($T$55:CI$55,$BT$65:$EI$65)</f>
        <v>530.23944516666688</v>
      </c>
      <c r="CJ67" s="33">
        <f>SUMPRODUCT($T$55:CJ$55,$BS$65:$EI$65)</f>
        <v>530.23944516666688</v>
      </c>
      <c r="CK67" s="33">
        <f>SUMPRODUCT($T$55:CK$55,$BR$65:$EI$65)</f>
        <v>530.23944516666688</v>
      </c>
      <c r="CL67" s="33">
        <f>SUMPRODUCT($T$55:CL$55,$BQ$65:$EI$65)</f>
        <v>530.23944516666688</v>
      </c>
      <c r="CM67" s="33">
        <f>SUMPRODUCT($T$55:CM$55,$BP$65:$EI$65)</f>
        <v>530.23944516666688</v>
      </c>
      <c r="CN67" s="33">
        <f>SUMPRODUCT($T$55:CN$55,$BO$65:$EI$65)</f>
        <v>530.23944516666688</v>
      </c>
      <c r="CO67" s="33">
        <f>SUMPRODUCT($T$55:CO$55,$BN$65:$EI$65)</f>
        <v>530.23944516666688</v>
      </c>
      <c r="CP67" s="33">
        <f>SUMPRODUCT($T$55:CP$55,$BM$65:$EI$65)</f>
        <v>530.23944516666688</v>
      </c>
      <c r="CQ67" s="33">
        <f>SUMPRODUCT($T$55:CQ$55,$BL$65:$EI$65)</f>
        <v>530.23944516666688</v>
      </c>
      <c r="CR67" s="33">
        <f>SUMPRODUCT($T$55:CR$55,$BK$65:$EI$65)</f>
        <v>530.23944516666688</v>
      </c>
      <c r="CS67" s="33">
        <f>SUMPRODUCT($T$55:CS$55,$BJ$65:$EI$65)</f>
        <v>530.23944516666688</v>
      </c>
      <c r="CT67" s="33">
        <f>SUMPRODUCT($T$55:CT$55,$BI$65:$EI$65)</f>
        <v>530.23944516666688</v>
      </c>
      <c r="CU67" s="33">
        <f>SUMPRODUCT($T$55:CU$55,$BH$65:$EI$65)</f>
        <v>530.23944516666688</v>
      </c>
      <c r="CV67" s="33">
        <f>SUMPRODUCT($T$55:CV$55,$BG$65:$EI$65)</f>
        <v>530.23944516666688</v>
      </c>
      <c r="CW67" s="33">
        <f>SUMPRODUCT($T$55:CW$55,$BF$65:$EI$65)</f>
        <v>530.23944516666688</v>
      </c>
      <c r="CX67" s="33">
        <f>SUMPRODUCT($T$55:CX$55,$BE$65:$EI$65)</f>
        <v>530.23944516666688</v>
      </c>
      <c r="CY67" s="33">
        <f>SUMPRODUCT($T$55:CY$55,$BD$65:$EI$65)</f>
        <v>530.23944516666688</v>
      </c>
      <c r="CZ67" s="33">
        <f>SUMPRODUCT($T$55:CZ$55,$BC$65:$EI$65)</f>
        <v>530.23944516666688</v>
      </c>
      <c r="DA67" s="33">
        <f>SUMPRODUCT($T$55:DA$55,$BB$65:$EI$65)</f>
        <v>530.23944516666688</v>
      </c>
      <c r="DB67" s="33">
        <f>SUMPRODUCT($T$55:DB$55,$BA$65:$EI$65)</f>
        <v>530.23944516666688</v>
      </c>
      <c r="DC67" s="33">
        <f>SUMPRODUCT($T$55:DC$55,$AZ$65:$EI$65)</f>
        <v>530.23944516666688</v>
      </c>
      <c r="DD67" s="33">
        <f>SUMPRODUCT($T$55:DD$55,$AY$65:$EI$65)</f>
        <v>530.23944516666688</v>
      </c>
      <c r="DE67" s="33">
        <f>SUMPRODUCT($T$55:DE$55,$AX$65:$EI$65)</f>
        <v>530.23944516666688</v>
      </c>
      <c r="DF67" s="33">
        <f>SUMPRODUCT($T$55:DF$55,$AW$65:$EI$65)</f>
        <v>530.23944516666688</v>
      </c>
      <c r="DG67" s="33">
        <f>SUMPRODUCT($T$55:DG$55,$AV$65:$EI$65)</f>
        <v>530.23944516666688</v>
      </c>
      <c r="DH67" s="33">
        <f>SUMPRODUCT($T$55:DH$55,$AU$65:$EI$65)</f>
        <v>843.022391476032</v>
      </c>
      <c r="DI67" s="33">
        <f>SUMPRODUCT($T$55:DI$55,$AT$65:$EI$65)</f>
        <v>843.022391476032</v>
      </c>
      <c r="DJ67" s="33">
        <f>SUMPRODUCT($T$55:DJ$55,$AS$65:$EI$65)</f>
        <v>1155.8053377853971</v>
      </c>
      <c r="DK67" s="33">
        <f>SUMPRODUCT($T$55:DK$55,$AR$65:$EI$65)</f>
        <v>1155.8053377853971</v>
      </c>
      <c r="DL67" s="33">
        <f>SUMPRODUCT($T$55:DL$55,$AQ$65:$EI$65)</f>
        <v>1155.8053377853971</v>
      </c>
      <c r="DM67" s="33">
        <f>SUMPRODUCT($T$55:DM$55,$AP$65:$EI$65)</f>
        <v>1155.8053377853971</v>
      </c>
      <c r="DN67" s="33">
        <f>SUMPRODUCT($T$55:DN$55,$AO$65:$EI$65)</f>
        <v>1155.8053377853971</v>
      </c>
      <c r="DO67" s="33">
        <f>SUMPRODUCT($T$55:DO$55,$AN$65:$EI$65)</f>
        <v>1155.8053377853971</v>
      </c>
      <c r="DP67" s="33">
        <f>SUMPRODUCT($T$55:DP$55,$AM$65:$EI$65)</f>
        <v>1155.8053377853971</v>
      </c>
      <c r="DQ67" s="33">
        <f>SUMPRODUCT($T$55:DQ$55,$AL$65:$EI$65)</f>
        <v>1155.8053377853971</v>
      </c>
      <c r="DR67" s="33">
        <f>SUMPRODUCT($T$55:DR$55,$AK$65:$EI$65)</f>
        <v>1155.8053377853971</v>
      </c>
      <c r="DS67" s="33">
        <f>SUMPRODUCT($T$55:DS$55,$AJ$65:$EI$65)</f>
        <v>1155.8053377853971</v>
      </c>
      <c r="DT67" s="33">
        <f>SUMPRODUCT($T$55:DT$55,$AI$65:$EI$65)</f>
        <v>1155.8053377853971</v>
      </c>
      <c r="DU67" s="33">
        <f>SUMPRODUCT($T$55:DU$55,$AH$65:$EI$65)</f>
        <v>1155.8053377853971</v>
      </c>
      <c r="DV67" s="33">
        <f>SUMPRODUCT($T$55:DV$55,$AG$65:$EI$65)</f>
        <v>1155.8053377853971</v>
      </c>
      <c r="DW67" s="33">
        <f>SUMPRODUCT($T$55:DW$55,$AF$65:$EI$65)</f>
        <v>1155.8053377853971</v>
      </c>
      <c r="DX67" s="33">
        <f>SUMPRODUCT($T$55:DX$55,$AE$65:$EI$65)</f>
        <v>1155.8053377853971</v>
      </c>
      <c r="DY67" s="33">
        <f>SUMPRODUCT($T$55:DY$55,$AD$65:$EI$65)</f>
        <v>1155.8053377853971</v>
      </c>
      <c r="DZ67" s="33">
        <f>SUMPRODUCT($T$55:DZ$55,$AC$65:$EI$65)</f>
        <v>1155.8053377853971</v>
      </c>
      <c r="EA67" s="33">
        <f>SUMPRODUCT($T$55:EA$55,$AB$65:$EI$65)</f>
        <v>1155.8053377853971</v>
      </c>
      <c r="EB67" s="33">
        <f>SUMPRODUCT($T$55:EB$55,$AA$65:$EI$65)</f>
        <v>1155.8053377853971</v>
      </c>
      <c r="EC67" s="33">
        <f>SUMPRODUCT($T$55:EC$55,$Z$65:$EI$65)</f>
        <v>1155.8053377853971</v>
      </c>
      <c r="ED67" s="33">
        <f>SUMPRODUCT($T$55:ED$55,$Y$65:$EI$65)</f>
        <v>1155.8053377853971</v>
      </c>
      <c r="EE67" s="33">
        <f>SUMPRODUCT($T$55:EE$55,$X$65:$EI$65)</f>
        <v>1155.8053377853971</v>
      </c>
      <c r="EF67" s="33">
        <f>SUMPRODUCT($T$55:EF$55,$W$65:$EI$65)</f>
        <v>1155.8053377853971</v>
      </c>
      <c r="EG67" s="33">
        <f>SUMPRODUCT($T$55:EG$55,$V$65:$EI$65)</f>
        <v>1155.8053377853971</v>
      </c>
      <c r="EH67" s="33">
        <f>SUMPRODUCT($T$55:EH$55,$U$65:$EI$65)</f>
        <v>1155.8053377853971</v>
      </c>
      <c r="EI67" s="33">
        <f>SUMPRODUCT($T$55:EI$55,$T$65:$EI$65)</f>
        <v>1155.8053377853971</v>
      </c>
      <c r="EJ67" s="3"/>
      <c r="EK67" s="3"/>
    </row>
    <row r="68" spans="1:14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</row>
    <row r="69" spans="1:141" x14ac:dyDescent="0.25">
      <c r="A69" s="3"/>
      <c r="B69" s="3"/>
      <c r="C69" s="3"/>
      <c r="D69" s="3"/>
      <c r="E69" s="3"/>
      <c r="F69" s="10" t="str">
        <f>KPI!$F$61</f>
        <v>максимальная емкость склада СиМ в единицах ГП</v>
      </c>
      <c r="G69" s="3"/>
      <c r="H69" s="3"/>
      <c r="I69" s="3"/>
      <c r="J69" s="5" t="str">
        <f>IF($F69="","",INDEX(KPI!$I$11:$I$275,SUMIFS(KPI!$E$11:$E$275,KPI!$F$11:$F$275,$F69)))</f>
        <v>ед. ГП</v>
      </c>
      <c r="K69" s="3"/>
      <c r="L69" s="3"/>
      <c r="M69" s="3"/>
      <c r="N69" s="3"/>
      <c r="O69" s="3"/>
      <c r="P69" s="3"/>
      <c r="Q69" s="12"/>
      <c r="R69" s="3"/>
      <c r="S69" s="55">
        <f>условия!$Q$52*условия!$Q$56</f>
        <v>1400000</v>
      </c>
      <c r="T69" s="33">
        <f>S69+T51*условия!$Q$52*условия!$Q$56</f>
        <v>1400000</v>
      </c>
      <c r="U69" s="33">
        <f>T69+U51*условия!$Q$52*условия!$Q$56</f>
        <v>1400000</v>
      </c>
      <c r="V69" s="33">
        <f>U69+V51*условия!$Q$52*условия!$Q$56</f>
        <v>1400000</v>
      </c>
      <c r="W69" s="33">
        <f>V69+W51*условия!$Q$52*условия!$Q$56</f>
        <v>1400000</v>
      </c>
      <c r="X69" s="33">
        <f>W69+X51*условия!$Q$52*условия!$Q$56</f>
        <v>1400000</v>
      </c>
      <c r="Y69" s="33">
        <f>X69+Y51*условия!$Q$52*условия!$Q$56</f>
        <v>1400000</v>
      </c>
      <c r="Z69" s="33">
        <f>Y69+Z51*условия!$Q$52*условия!$Q$56</f>
        <v>1400000</v>
      </c>
      <c r="AA69" s="33">
        <f>Z69+AA51*условия!$Q$52*условия!$Q$56</f>
        <v>1400000</v>
      </c>
      <c r="AB69" s="33">
        <f>AA69+AB51*условия!$Q$52*условия!$Q$56</f>
        <v>1400000</v>
      </c>
      <c r="AC69" s="33">
        <f>AB69+AC51*условия!$Q$52*условия!$Q$56</f>
        <v>1400000</v>
      </c>
      <c r="AD69" s="33">
        <f>AC69+AD51*условия!$Q$52*условия!$Q$56</f>
        <v>1400000</v>
      </c>
      <c r="AE69" s="33">
        <f>AD69+AE51*условия!$Q$52*условия!$Q$56</f>
        <v>1400000</v>
      </c>
      <c r="AF69" s="33">
        <f>AE69+AF51*условия!$Q$52*условия!$Q$56</f>
        <v>1400000</v>
      </c>
      <c r="AG69" s="33">
        <f>AF69+AG51*условия!$Q$52*условия!$Q$56</f>
        <v>1400000</v>
      </c>
      <c r="AH69" s="33">
        <f>AG69+AH51*условия!$Q$52*условия!$Q$56</f>
        <v>1400000</v>
      </c>
      <c r="AI69" s="33">
        <f>AH69+AI51*условия!$Q$52*условия!$Q$56</f>
        <v>1400000</v>
      </c>
      <c r="AJ69" s="33">
        <f>AI69+AJ51*условия!$Q$52*условия!$Q$56</f>
        <v>1400000</v>
      </c>
      <c r="AK69" s="33">
        <f>AJ69+AK51*условия!$Q$52*условия!$Q$56</f>
        <v>1400000</v>
      </c>
      <c r="AL69" s="33">
        <f>AK69+AL51*условия!$Q$52*условия!$Q$56</f>
        <v>1400000</v>
      </c>
      <c r="AM69" s="33">
        <f>AL69+AM51*условия!$Q$52*условия!$Q$56</f>
        <v>1400000</v>
      </c>
      <c r="AN69" s="33">
        <f>AM69+AN51*условия!$Q$52*условия!$Q$56</f>
        <v>1400000</v>
      </c>
      <c r="AO69" s="33">
        <f>AN69+AO51*условия!$Q$52*условия!$Q$56</f>
        <v>1400000</v>
      </c>
      <c r="AP69" s="33">
        <f>AO69+AP51*условия!$Q$52*условия!$Q$56</f>
        <v>1400000</v>
      </c>
      <c r="AQ69" s="33">
        <f>AP69+AQ51*условия!$Q$52*условия!$Q$56</f>
        <v>1400000</v>
      </c>
      <c r="AR69" s="33">
        <f>AQ69+AR51*условия!$Q$52*условия!$Q$56</f>
        <v>1400000</v>
      </c>
      <c r="AS69" s="33">
        <f>AR69+AS51*условия!$Q$52*условия!$Q$56</f>
        <v>1400000</v>
      </c>
      <c r="AT69" s="33">
        <f>AS69+AT51*условия!$Q$52*условия!$Q$56</f>
        <v>1400000</v>
      </c>
      <c r="AU69" s="33">
        <f>AT69+AU51*условия!$Q$52*условия!$Q$56</f>
        <v>1400000</v>
      </c>
      <c r="AV69" s="33">
        <f>AU69+AV51*условия!$Q$52*условия!$Q$56</f>
        <v>1400000</v>
      </c>
      <c r="AW69" s="33">
        <f>AV69+AW51*условия!$Q$52*условия!$Q$56</f>
        <v>1400000</v>
      </c>
      <c r="AX69" s="33">
        <f>AW69+AX51*условия!$Q$52*условия!$Q$56</f>
        <v>1400000</v>
      </c>
      <c r="AY69" s="33">
        <f>AX69+AY51*условия!$Q$52*условия!$Q$56</f>
        <v>1400000</v>
      </c>
      <c r="AZ69" s="33">
        <f>AY69+AZ51*условия!$Q$52*условия!$Q$56</f>
        <v>1400000</v>
      </c>
      <c r="BA69" s="33">
        <f>AZ69+BA51*условия!$Q$52*условия!$Q$56</f>
        <v>1400000</v>
      </c>
      <c r="BB69" s="33">
        <f>BA69+BB51*условия!$Q$52*условия!$Q$56</f>
        <v>1400000</v>
      </c>
      <c r="BC69" s="33">
        <f>BB69+BC51*условия!$Q$52*условия!$Q$56</f>
        <v>1400000</v>
      </c>
      <c r="BD69" s="33">
        <f>BC69+BD51*условия!$Q$52*условия!$Q$56</f>
        <v>1400000</v>
      </c>
      <c r="BE69" s="33">
        <f>BD69+BE51*условия!$Q$52*условия!$Q$56</f>
        <v>1400000</v>
      </c>
      <c r="BF69" s="33">
        <f>BE69+BF51*условия!$Q$52*условия!$Q$56</f>
        <v>1400000</v>
      </c>
      <c r="BG69" s="33">
        <f>BF69+BG51*условия!$Q$52*условия!$Q$56</f>
        <v>1400000</v>
      </c>
      <c r="BH69" s="33">
        <f>BG69+BH51*условия!$Q$52*условия!$Q$56</f>
        <v>1400000</v>
      </c>
      <c r="BI69" s="33">
        <f>BH69+BI51*условия!$Q$52*условия!$Q$56</f>
        <v>1400000</v>
      </c>
      <c r="BJ69" s="33">
        <f>BI69+BJ51*условия!$Q$52*условия!$Q$56</f>
        <v>1400000</v>
      </c>
      <c r="BK69" s="33">
        <f>BJ69+BK51*условия!$Q$52*условия!$Q$56</f>
        <v>1400000</v>
      </c>
      <c r="BL69" s="33">
        <f>BK69+BL51*условия!$Q$52*условия!$Q$56</f>
        <v>1400000</v>
      </c>
      <c r="BM69" s="33">
        <f>BL69+BM51*условия!$Q$52*условия!$Q$56</f>
        <v>1400000</v>
      </c>
      <c r="BN69" s="33">
        <f>BM69+BN51*условия!$Q$52*условия!$Q$56</f>
        <v>1400000</v>
      </c>
      <c r="BO69" s="33">
        <f>BN69+BO51*условия!$Q$52*условия!$Q$56</f>
        <v>1400000</v>
      </c>
      <c r="BP69" s="33">
        <f>BO69+BP51*условия!$Q$52*условия!$Q$56</f>
        <v>1400000</v>
      </c>
      <c r="BQ69" s="33">
        <f>BP69+BQ51*условия!$Q$52*условия!$Q$56</f>
        <v>1400000</v>
      </c>
      <c r="BR69" s="33">
        <f>BQ69+BR51*условия!$Q$52*условия!$Q$56</f>
        <v>1400000</v>
      </c>
      <c r="BS69" s="33">
        <f>BR69+BS51*условия!$Q$52*условия!$Q$56</f>
        <v>1400000</v>
      </c>
      <c r="BT69" s="33">
        <f>BS69+BT51*условия!$Q$52*условия!$Q$56</f>
        <v>1400000</v>
      </c>
      <c r="BU69" s="33">
        <f>BT69+BU51*условия!$Q$52*условия!$Q$56</f>
        <v>1400000</v>
      </c>
      <c r="BV69" s="33">
        <f>BU69+BV51*условия!$Q$52*условия!$Q$56</f>
        <v>1400000</v>
      </c>
      <c r="BW69" s="33">
        <f>BV69+BW51*условия!$Q$52*условия!$Q$56</f>
        <v>1400000</v>
      </c>
      <c r="BX69" s="33">
        <f>BW69+BX51*условия!$Q$52*условия!$Q$56</f>
        <v>1400000</v>
      </c>
      <c r="BY69" s="33">
        <f>BX69+BY51*условия!$Q$52*условия!$Q$56</f>
        <v>2800000</v>
      </c>
      <c r="BZ69" s="33">
        <f>BY69+BZ51*условия!$Q$52*условия!$Q$56</f>
        <v>2800000</v>
      </c>
      <c r="CA69" s="33">
        <f>BZ69+CA51*условия!$Q$52*условия!$Q$56</f>
        <v>2800000</v>
      </c>
      <c r="CB69" s="33">
        <f>CA69+CB51*условия!$Q$52*условия!$Q$56</f>
        <v>2800000</v>
      </c>
      <c r="CC69" s="33">
        <f>CB69+CC51*условия!$Q$52*условия!$Q$56</f>
        <v>2800000</v>
      </c>
      <c r="CD69" s="33">
        <f>CC69+CD51*условия!$Q$52*условия!$Q$56</f>
        <v>2800000</v>
      </c>
      <c r="CE69" s="33">
        <f>CD69+CE51*условия!$Q$52*условия!$Q$56</f>
        <v>2800000</v>
      </c>
      <c r="CF69" s="33">
        <f>CE69+CF51*условия!$Q$52*условия!$Q$56</f>
        <v>2800000</v>
      </c>
      <c r="CG69" s="33">
        <f>CF69+CG51*условия!$Q$52*условия!$Q$56</f>
        <v>2800000</v>
      </c>
      <c r="CH69" s="33">
        <f>CG69+CH51*условия!$Q$52*условия!$Q$56</f>
        <v>2800000</v>
      </c>
      <c r="CI69" s="33">
        <f>CH69+CI51*условия!$Q$52*условия!$Q$56</f>
        <v>2800000</v>
      </c>
      <c r="CJ69" s="33">
        <f>CI69+CJ51*условия!$Q$52*условия!$Q$56</f>
        <v>2800000</v>
      </c>
      <c r="CK69" s="33">
        <f>CJ69+CK51*условия!$Q$52*условия!$Q$56</f>
        <v>2800000</v>
      </c>
      <c r="CL69" s="33">
        <f>CK69+CL51*условия!$Q$52*условия!$Q$56</f>
        <v>2800000</v>
      </c>
      <c r="CM69" s="33">
        <f>CL69+CM51*условия!$Q$52*условия!$Q$56</f>
        <v>2800000</v>
      </c>
      <c r="CN69" s="33">
        <f>CM69+CN51*условия!$Q$52*условия!$Q$56</f>
        <v>2800000</v>
      </c>
      <c r="CO69" s="33">
        <f>CN69+CO51*условия!$Q$52*условия!$Q$56</f>
        <v>2800000</v>
      </c>
      <c r="CP69" s="33">
        <f>CO69+CP51*условия!$Q$52*условия!$Q$56</f>
        <v>2800000</v>
      </c>
      <c r="CQ69" s="33">
        <f>CP69+CQ51*условия!$Q$52*условия!$Q$56</f>
        <v>2800000</v>
      </c>
      <c r="CR69" s="33">
        <f>CQ69+CR51*условия!$Q$52*условия!$Q$56</f>
        <v>2800000</v>
      </c>
      <c r="CS69" s="33">
        <f>CR69+CS51*условия!$Q$52*условия!$Q$56</f>
        <v>2800000</v>
      </c>
      <c r="CT69" s="33">
        <f>CS69+CT51*условия!$Q$52*условия!$Q$56</f>
        <v>2800000</v>
      </c>
      <c r="CU69" s="33">
        <f>CT69+CU51*условия!$Q$52*условия!$Q$56</f>
        <v>2800000</v>
      </c>
      <c r="CV69" s="33">
        <f>CU69+CV51*условия!$Q$52*условия!$Q$56</f>
        <v>2800000</v>
      </c>
      <c r="CW69" s="33">
        <f>CV69+CW51*условия!$Q$52*условия!$Q$56</f>
        <v>2800000</v>
      </c>
      <c r="CX69" s="33">
        <f>CW69+CX51*условия!$Q$52*условия!$Q$56</f>
        <v>2800000</v>
      </c>
      <c r="CY69" s="33">
        <f>CX69+CY51*условия!$Q$52*условия!$Q$56</f>
        <v>2800000</v>
      </c>
      <c r="CZ69" s="33">
        <f>CY69+CZ51*условия!$Q$52*условия!$Q$56</f>
        <v>2800000</v>
      </c>
      <c r="DA69" s="33">
        <f>CZ69+DA51*условия!$Q$52*условия!$Q$56</f>
        <v>2800000</v>
      </c>
      <c r="DB69" s="33">
        <f>DA69+DB51*условия!$Q$52*условия!$Q$56</f>
        <v>2800000</v>
      </c>
      <c r="DC69" s="33">
        <f>DB69+DC51*условия!$Q$52*условия!$Q$56</f>
        <v>2800000</v>
      </c>
      <c r="DD69" s="33">
        <f>DC69+DD51*условия!$Q$52*условия!$Q$56</f>
        <v>2800000</v>
      </c>
      <c r="DE69" s="33">
        <f>DD69+DE51*условия!$Q$52*условия!$Q$56</f>
        <v>2800000</v>
      </c>
      <c r="DF69" s="33">
        <f>DE69+DF51*условия!$Q$52*условия!$Q$56</f>
        <v>2800000</v>
      </c>
      <c r="DG69" s="33">
        <f>DF69+DG51*условия!$Q$52*условия!$Q$56</f>
        <v>2800000</v>
      </c>
      <c r="DH69" s="33">
        <f>DG69+DH51*условия!$Q$52*условия!$Q$56</f>
        <v>2800000</v>
      </c>
      <c r="DI69" s="33">
        <f>DH69+DI51*условия!$Q$52*условия!$Q$56</f>
        <v>2800000</v>
      </c>
      <c r="DJ69" s="33">
        <f>DI69+DJ51*условия!$Q$52*условия!$Q$56</f>
        <v>4200000</v>
      </c>
      <c r="DK69" s="33">
        <f>DJ69+DK51*условия!$Q$52*условия!$Q$56</f>
        <v>4200000</v>
      </c>
      <c r="DL69" s="33">
        <f>DK69+DL51*условия!$Q$52*условия!$Q$56</f>
        <v>4200000</v>
      </c>
      <c r="DM69" s="33">
        <f>DL69+DM51*условия!$Q$52*условия!$Q$56</f>
        <v>4200000</v>
      </c>
      <c r="DN69" s="33">
        <f>DM69+DN51*условия!$Q$52*условия!$Q$56</f>
        <v>4200000</v>
      </c>
      <c r="DO69" s="33">
        <f>DN69+DO51*условия!$Q$52*условия!$Q$56</f>
        <v>4200000</v>
      </c>
      <c r="DP69" s="33">
        <f>DO69+DP51*условия!$Q$52*условия!$Q$56</f>
        <v>4200000</v>
      </c>
      <c r="DQ69" s="33">
        <f>DP69+DQ51*условия!$Q$52*условия!$Q$56</f>
        <v>4200000</v>
      </c>
      <c r="DR69" s="33">
        <f>DQ69+DR51*условия!$Q$52*условия!$Q$56</f>
        <v>4200000</v>
      </c>
      <c r="DS69" s="33">
        <f>DR69+DS51*условия!$Q$52*условия!$Q$56</f>
        <v>4200000</v>
      </c>
      <c r="DT69" s="33">
        <f>DS69+DT51*условия!$Q$52*условия!$Q$56</f>
        <v>4200000</v>
      </c>
      <c r="DU69" s="33">
        <f>DT69+DU51*условия!$Q$52*условия!$Q$56</f>
        <v>4200000</v>
      </c>
      <c r="DV69" s="33">
        <f>DU69+DV51*условия!$Q$52*условия!$Q$56</f>
        <v>4200000</v>
      </c>
      <c r="DW69" s="33">
        <f>DV69+DW51*условия!$Q$52*условия!$Q$56</f>
        <v>4200000</v>
      </c>
      <c r="DX69" s="33">
        <f>DW69+DX51*условия!$Q$52*условия!$Q$56</f>
        <v>4200000</v>
      </c>
      <c r="DY69" s="33">
        <f>DX69+DY51*условия!$Q$52*условия!$Q$56</f>
        <v>4200000</v>
      </c>
      <c r="DZ69" s="33">
        <f>DY69+DZ51*условия!$Q$52*условия!$Q$56</f>
        <v>4200000</v>
      </c>
      <c r="EA69" s="33">
        <f>DZ69+EA51*условия!$Q$52*условия!$Q$56</f>
        <v>4200000</v>
      </c>
      <c r="EB69" s="33">
        <f>EA69+EB51*условия!$Q$52*условия!$Q$56</f>
        <v>4200000</v>
      </c>
      <c r="EC69" s="33">
        <f>EB69+EC51*условия!$Q$52*условия!$Q$56</f>
        <v>4200000</v>
      </c>
      <c r="ED69" s="33">
        <f>EC69+ED51*условия!$Q$52*условия!$Q$56</f>
        <v>4200000</v>
      </c>
      <c r="EE69" s="33">
        <f>ED69+EE51*условия!$Q$52*условия!$Q$56</f>
        <v>4200000</v>
      </c>
      <c r="EF69" s="33">
        <f>EE69+EF51*условия!$Q$52*условия!$Q$56</f>
        <v>4200000</v>
      </c>
      <c r="EG69" s="33">
        <f>EF69+EG51*условия!$Q$52*условия!$Q$56</f>
        <v>4200000</v>
      </c>
      <c r="EH69" s="33">
        <f>EG69+EH51*условия!$Q$52*условия!$Q$56</f>
        <v>4200000</v>
      </c>
      <c r="EI69" s="33">
        <f>EH69+EI51*условия!$Q$52*условия!$Q$56</f>
        <v>4200000</v>
      </c>
      <c r="EJ69" s="3"/>
      <c r="EK69" s="3"/>
    </row>
    <row r="70" spans="1:14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</row>
    <row r="71" spans="1:141" x14ac:dyDescent="0.25">
      <c r="A71" s="3"/>
      <c r="B71" s="3"/>
      <c r="C71" s="3"/>
      <c r="D71" s="3"/>
      <c r="E71" s="3"/>
      <c r="F71" s="10" t="str">
        <f>KPI!$F$62</f>
        <v>максимальная емкость склада ГП в единицах ГП</v>
      </c>
      <c r="G71" s="3"/>
      <c r="H71" s="3"/>
      <c r="I71" s="3"/>
      <c r="J71" s="5" t="str">
        <f>IF($F71="","",INDEX(KPI!$I$11:$I$275,SUMIFS(KPI!$E$11:$E$275,KPI!$F$11:$F$275,$F71)))</f>
        <v>ед. ГП</v>
      </c>
      <c r="K71" s="3"/>
      <c r="L71" s="3"/>
      <c r="M71" s="3"/>
      <c r="N71" s="3"/>
      <c r="O71" s="3"/>
      <c r="P71" s="3"/>
      <c r="Q71" s="12"/>
      <c r="R71" s="3"/>
      <c r="S71" s="55">
        <f>условия!$Q$52*условия!$Q$54</f>
        <v>489999.99999999994</v>
      </c>
      <c r="T71" s="33">
        <f>S71+T51*условия!$Q$52*условия!$Q$54</f>
        <v>489999.99999999994</v>
      </c>
      <c r="U71" s="33">
        <f>T71+U51*условия!$Q$52*условия!$Q$54</f>
        <v>489999.99999999994</v>
      </c>
      <c r="V71" s="33">
        <f>U71+V51*условия!$Q$52*условия!$Q$54</f>
        <v>489999.99999999994</v>
      </c>
      <c r="W71" s="33">
        <f>V71+W51*условия!$Q$52*условия!$Q$54</f>
        <v>489999.99999999994</v>
      </c>
      <c r="X71" s="33">
        <f>W71+X51*условия!$Q$52*условия!$Q$54</f>
        <v>489999.99999999994</v>
      </c>
      <c r="Y71" s="33">
        <f>X71+Y51*условия!$Q$52*условия!$Q$54</f>
        <v>489999.99999999994</v>
      </c>
      <c r="Z71" s="33">
        <f>Y71+Z51*условия!$Q$52*условия!$Q$54</f>
        <v>489999.99999999994</v>
      </c>
      <c r="AA71" s="33">
        <f>Z71+AA51*условия!$Q$52*условия!$Q$54</f>
        <v>489999.99999999994</v>
      </c>
      <c r="AB71" s="33">
        <f>AA71+AB51*условия!$Q$52*условия!$Q$54</f>
        <v>489999.99999999994</v>
      </c>
      <c r="AC71" s="33">
        <f>AB71+AC51*условия!$Q$52*условия!$Q$54</f>
        <v>489999.99999999994</v>
      </c>
      <c r="AD71" s="33">
        <f>AC71+AD51*условия!$Q$52*условия!$Q$54</f>
        <v>489999.99999999994</v>
      </c>
      <c r="AE71" s="33">
        <f>AD71+AE51*условия!$Q$52*условия!$Q$54</f>
        <v>489999.99999999994</v>
      </c>
      <c r="AF71" s="33">
        <f>AE71+AF51*условия!$Q$52*условия!$Q$54</f>
        <v>489999.99999999994</v>
      </c>
      <c r="AG71" s="33">
        <f>AF71+AG51*условия!$Q$52*условия!$Q$54</f>
        <v>489999.99999999994</v>
      </c>
      <c r="AH71" s="33">
        <f>AG71+AH51*условия!$Q$52*условия!$Q$54</f>
        <v>489999.99999999994</v>
      </c>
      <c r="AI71" s="33">
        <f>AH71+AI51*условия!$Q$52*условия!$Q$54</f>
        <v>489999.99999999994</v>
      </c>
      <c r="AJ71" s="33">
        <f>AI71+AJ51*условия!$Q$52*условия!$Q$54</f>
        <v>489999.99999999994</v>
      </c>
      <c r="AK71" s="33">
        <f>AJ71+AK51*условия!$Q$52*условия!$Q$54</f>
        <v>489999.99999999994</v>
      </c>
      <c r="AL71" s="33">
        <f>AK71+AL51*условия!$Q$52*условия!$Q$54</f>
        <v>489999.99999999994</v>
      </c>
      <c r="AM71" s="33">
        <f>AL71+AM51*условия!$Q$52*условия!$Q$54</f>
        <v>489999.99999999994</v>
      </c>
      <c r="AN71" s="33">
        <f>AM71+AN51*условия!$Q$52*условия!$Q$54</f>
        <v>489999.99999999994</v>
      </c>
      <c r="AO71" s="33">
        <f>AN71+AO51*условия!$Q$52*условия!$Q$54</f>
        <v>489999.99999999994</v>
      </c>
      <c r="AP71" s="33">
        <f>AO71+AP51*условия!$Q$52*условия!$Q$54</f>
        <v>489999.99999999994</v>
      </c>
      <c r="AQ71" s="33">
        <f>AP71+AQ51*условия!$Q$52*условия!$Q$54</f>
        <v>489999.99999999994</v>
      </c>
      <c r="AR71" s="33">
        <f>AQ71+AR51*условия!$Q$52*условия!$Q$54</f>
        <v>489999.99999999994</v>
      </c>
      <c r="AS71" s="33">
        <f>AR71+AS51*условия!$Q$52*условия!$Q$54</f>
        <v>489999.99999999994</v>
      </c>
      <c r="AT71" s="33">
        <f>AS71+AT51*условия!$Q$52*условия!$Q$54</f>
        <v>489999.99999999994</v>
      </c>
      <c r="AU71" s="33">
        <f>AT71+AU51*условия!$Q$52*условия!$Q$54</f>
        <v>489999.99999999994</v>
      </c>
      <c r="AV71" s="33">
        <f>AU71+AV51*условия!$Q$52*условия!$Q$54</f>
        <v>489999.99999999994</v>
      </c>
      <c r="AW71" s="33">
        <f>AV71+AW51*условия!$Q$52*условия!$Q$54</f>
        <v>489999.99999999994</v>
      </c>
      <c r="AX71" s="33">
        <f>AW71+AX51*условия!$Q$52*условия!$Q$54</f>
        <v>489999.99999999994</v>
      </c>
      <c r="AY71" s="33">
        <f>AX71+AY51*условия!$Q$52*условия!$Q$54</f>
        <v>489999.99999999994</v>
      </c>
      <c r="AZ71" s="33">
        <f>AY71+AZ51*условия!$Q$52*условия!$Q$54</f>
        <v>489999.99999999994</v>
      </c>
      <c r="BA71" s="33">
        <f>AZ71+BA51*условия!$Q$52*условия!$Q$54</f>
        <v>489999.99999999994</v>
      </c>
      <c r="BB71" s="33">
        <f>BA71+BB51*условия!$Q$52*условия!$Q$54</f>
        <v>489999.99999999994</v>
      </c>
      <c r="BC71" s="33">
        <f>BB71+BC51*условия!$Q$52*условия!$Q$54</f>
        <v>489999.99999999994</v>
      </c>
      <c r="BD71" s="33">
        <f>BC71+BD51*условия!$Q$52*условия!$Q$54</f>
        <v>489999.99999999994</v>
      </c>
      <c r="BE71" s="33">
        <f>BD71+BE51*условия!$Q$52*условия!$Q$54</f>
        <v>489999.99999999994</v>
      </c>
      <c r="BF71" s="33">
        <f>BE71+BF51*условия!$Q$52*условия!$Q$54</f>
        <v>489999.99999999994</v>
      </c>
      <c r="BG71" s="33">
        <f>BF71+BG51*условия!$Q$52*условия!$Q$54</f>
        <v>489999.99999999994</v>
      </c>
      <c r="BH71" s="33">
        <f>BG71+BH51*условия!$Q$52*условия!$Q$54</f>
        <v>489999.99999999994</v>
      </c>
      <c r="BI71" s="33">
        <f>BH71+BI51*условия!$Q$52*условия!$Q$54</f>
        <v>489999.99999999994</v>
      </c>
      <c r="BJ71" s="33">
        <f>BI71+BJ51*условия!$Q$52*условия!$Q$54</f>
        <v>489999.99999999994</v>
      </c>
      <c r="BK71" s="33">
        <f>BJ71+BK51*условия!$Q$52*условия!$Q$54</f>
        <v>489999.99999999994</v>
      </c>
      <c r="BL71" s="33">
        <f>BK71+BL51*условия!$Q$52*условия!$Q$54</f>
        <v>489999.99999999994</v>
      </c>
      <c r="BM71" s="33">
        <f>BL71+BM51*условия!$Q$52*условия!$Q$54</f>
        <v>489999.99999999994</v>
      </c>
      <c r="BN71" s="33">
        <f>BM71+BN51*условия!$Q$52*условия!$Q$54</f>
        <v>489999.99999999994</v>
      </c>
      <c r="BO71" s="33">
        <f>BN71+BO51*условия!$Q$52*условия!$Q$54</f>
        <v>489999.99999999994</v>
      </c>
      <c r="BP71" s="33">
        <f>BO71+BP51*условия!$Q$52*условия!$Q$54</f>
        <v>489999.99999999994</v>
      </c>
      <c r="BQ71" s="33">
        <f>BP71+BQ51*условия!$Q$52*условия!$Q$54</f>
        <v>489999.99999999994</v>
      </c>
      <c r="BR71" s="33">
        <f>BQ71+BR51*условия!$Q$52*условия!$Q$54</f>
        <v>489999.99999999994</v>
      </c>
      <c r="BS71" s="33">
        <f>BR71+BS51*условия!$Q$52*условия!$Q$54</f>
        <v>489999.99999999994</v>
      </c>
      <c r="BT71" s="33">
        <f>BS71+BT51*условия!$Q$52*условия!$Q$54</f>
        <v>489999.99999999994</v>
      </c>
      <c r="BU71" s="33">
        <f>BT71+BU51*условия!$Q$52*условия!$Q$54</f>
        <v>489999.99999999994</v>
      </c>
      <c r="BV71" s="33">
        <f>BU71+BV51*условия!$Q$52*условия!$Q$54</f>
        <v>489999.99999999994</v>
      </c>
      <c r="BW71" s="33">
        <f>BV71+BW51*условия!$Q$52*условия!$Q$54</f>
        <v>489999.99999999994</v>
      </c>
      <c r="BX71" s="33">
        <f>BW71+BX51*условия!$Q$52*условия!$Q$54</f>
        <v>489999.99999999994</v>
      </c>
      <c r="BY71" s="33">
        <f>BX71+BY51*условия!$Q$52*условия!$Q$54</f>
        <v>979999.99999999988</v>
      </c>
      <c r="BZ71" s="33">
        <f>BY71+BZ51*условия!$Q$52*условия!$Q$54</f>
        <v>979999.99999999988</v>
      </c>
      <c r="CA71" s="33">
        <f>BZ71+CA51*условия!$Q$52*условия!$Q$54</f>
        <v>979999.99999999988</v>
      </c>
      <c r="CB71" s="33">
        <f>CA71+CB51*условия!$Q$52*условия!$Q$54</f>
        <v>979999.99999999988</v>
      </c>
      <c r="CC71" s="33">
        <f>CB71+CC51*условия!$Q$52*условия!$Q$54</f>
        <v>979999.99999999988</v>
      </c>
      <c r="CD71" s="33">
        <f>CC71+CD51*условия!$Q$52*условия!$Q$54</f>
        <v>979999.99999999988</v>
      </c>
      <c r="CE71" s="33">
        <f>CD71+CE51*условия!$Q$52*условия!$Q$54</f>
        <v>979999.99999999988</v>
      </c>
      <c r="CF71" s="33">
        <f>CE71+CF51*условия!$Q$52*условия!$Q$54</f>
        <v>979999.99999999988</v>
      </c>
      <c r="CG71" s="33">
        <f>CF71+CG51*условия!$Q$52*условия!$Q$54</f>
        <v>979999.99999999988</v>
      </c>
      <c r="CH71" s="33">
        <f>CG71+CH51*условия!$Q$52*условия!$Q$54</f>
        <v>979999.99999999988</v>
      </c>
      <c r="CI71" s="33">
        <f>CH71+CI51*условия!$Q$52*условия!$Q$54</f>
        <v>979999.99999999988</v>
      </c>
      <c r="CJ71" s="33">
        <f>CI71+CJ51*условия!$Q$52*условия!$Q$54</f>
        <v>979999.99999999988</v>
      </c>
      <c r="CK71" s="33">
        <f>CJ71+CK51*условия!$Q$52*условия!$Q$54</f>
        <v>979999.99999999988</v>
      </c>
      <c r="CL71" s="33">
        <f>CK71+CL51*условия!$Q$52*условия!$Q$54</f>
        <v>979999.99999999988</v>
      </c>
      <c r="CM71" s="33">
        <f>CL71+CM51*условия!$Q$52*условия!$Q$54</f>
        <v>979999.99999999988</v>
      </c>
      <c r="CN71" s="33">
        <f>CM71+CN51*условия!$Q$52*условия!$Q$54</f>
        <v>979999.99999999988</v>
      </c>
      <c r="CO71" s="33">
        <f>CN71+CO51*условия!$Q$52*условия!$Q$54</f>
        <v>979999.99999999988</v>
      </c>
      <c r="CP71" s="33">
        <f>CO71+CP51*условия!$Q$52*условия!$Q$54</f>
        <v>979999.99999999988</v>
      </c>
      <c r="CQ71" s="33">
        <f>CP71+CQ51*условия!$Q$52*условия!$Q$54</f>
        <v>979999.99999999988</v>
      </c>
      <c r="CR71" s="33">
        <f>CQ71+CR51*условия!$Q$52*условия!$Q$54</f>
        <v>979999.99999999988</v>
      </c>
      <c r="CS71" s="33">
        <f>CR71+CS51*условия!$Q$52*условия!$Q$54</f>
        <v>979999.99999999988</v>
      </c>
      <c r="CT71" s="33">
        <f>CS71+CT51*условия!$Q$52*условия!$Q$54</f>
        <v>979999.99999999988</v>
      </c>
      <c r="CU71" s="33">
        <f>CT71+CU51*условия!$Q$52*условия!$Q$54</f>
        <v>979999.99999999988</v>
      </c>
      <c r="CV71" s="33">
        <f>CU71+CV51*условия!$Q$52*условия!$Q$54</f>
        <v>979999.99999999988</v>
      </c>
      <c r="CW71" s="33">
        <f>CV71+CW51*условия!$Q$52*условия!$Q$54</f>
        <v>979999.99999999988</v>
      </c>
      <c r="CX71" s="33">
        <f>CW71+CX51*условия!$Q$52*условия!$Q$54</f>
        <v>979999.99999999988</v>
      </c>
      <c r="CY71" s="33">
        <f>CX71+CY51*условия!$Q$52*условия!$Q$54</f>
        <v>979999.99999999988</v>
      </c>
      <c r="CZ71" s="33">
        <f>CY71+CZ51*условия!$Q$52*условия!$Q$54</f>
        <v>979999.99999999988</v>
      </c>
      <c r="DA71" s="33">
        <f>CZ71+DA51*условия!$Q$52*условия!$Q$54</f>
        <v>979999.99999999988</v>
      </c>
      <c r="DB71" s="33">
        <f>DA71+DB51*условия!$Q$52*условия!$Q$54</f>
        <v>979999.99999999988</v>
      </c>
      <c r="DC71" s="33">
        <f>DB71+DC51*условия!$Q$52*условия!$Q$54</f>
        <v>979999.99999999988</v>
      </c>
      <c r="DD71" s="33">
        <f>DC71+DD51*условия!$Q$52*условия!$Q$54</f>
        <v>979999.99999999988</v>
      </c>
      <c r="DE71" s="33">
        <f>DD71+DE51*условия!$Q$52*условия!$Q$54</f>
        <v>979999.99999999988</v>
      </c>
      <c r="DF71" s="33">
        <f>DE71+DF51*условия!$Q$52*условия!$Q$54</f>
        <v>979999.99999999988</v>
      </c>
      <c r="DG71" s="33">
        <f>DF71+DG51*условия!$Q$52*условия!$Q$54</f>
        <v>979999.99999999988</v>
      </c>
      <c r="DH71" s="33">
        <f>DG71+DH51*условия!$Q$52*условия!$Q$54</f>
        <v>979999.99999999988</v>
      </c>
      <c r="DI71" s="33">
        <f>DH71+DI51*условия!$Q$52*условия!$Q$54</f>
        <v>979999.99999999988</v>
      </c>
      <c r="DJ71" s="33">
        <f>DI71+DJ51*условия!$Q$52*условия!$Q$54</f>
        <v>1469999.9999999998</v>
      </c>
      <c r="DK71" s="33">
        <f>DJ71+DK51*условия!$Q$52*условия!$Q$54</f>
        <v>1469999.9999999998</v>
      </c>
      <c r="DL71" s="33">
        <f>DK71+DL51*условия!$Q$52*условия!$Q$54</f>
        <v>1469999.9999999998</v>
      </c>
      <c r="DM71" s="33">
        <f>DL71+DM51*условия!$Q$52*условия!$Q$54</f>
        <v>1469999.9999999998</v>
      </c>
      <c r="DN71" s="33">
        <f>DM71+DN51*условия!$Q$52*условия!$Q$54</f>
        <v>1469999.9999999998</v>
      </c>
      <c r="DO71" s="33">
        <f>DN71+DO51*условия!$Q$52*условия!$Q$54</f>
        <v>1469999.9999999998</v>
      </c>
      <c r="DP71" s="33">
        <f>DO71+DP51*условия!$Q$52*условия!$Q$54</f>
        <v>1469999.9999999998</v>
      </c>
      <c r="DQ71" s="33">
        <f>DP71+DQ51*условия!$Q$52*условия!$Q$54</f>
        <v>1469999.9999999998</v>
      </c>
      <c r="DR71" s="33">
        <f>DQ71+DR51*условия!$Q$52*условия!$Q$54</f>
        <v>1469999.9999999998</v>
      </c>
      <c r="DS71" s="33">
        <f>DR71+DS51*условия!$Q$52*условия!$Q$54</f>
        <v>1469999.9999999998</v>
      </c>
      <c r="DT71" s="33">
        <f>DS71+DT51*условия!$Q$52*условия!$Q$54</f>
        <v>1469999.9999999998</v>
      </c>
      <c r="DU71" s="33">
        <f>DT71+DU51*условия!$Q$52*условия!$Q$54</f>
        <v>1469999.9999999998</v>
      </c>
      <c r="DV71" s="33">
        <f>DU71+DV51*условия!$Q$52*условия!$Q$54</f>
        <v>1469999.9999999998</v>
      </c>
      <c r="DW71" s="33">
        <f>DV71+DW51*условия!$Q$52*условия!$Q$54</f>
        <v>1469999.9999999998</v>
      </c>
      <c r="DX71" s="33">
        <f>DW71+DX51*условия!$Q$52*условия!$Q$54</f>
        <v>1469999.9999999998</v>
      </c>
      <c r="DY71" s="33">
        <f>DX71+DY51*условия!$Q$52*условия!$Q$54</f>
        <v>1469999.9999999998</v>
      </c>
      <c r="DZ71" s="33">
        <f>DY71+DZ51*условия!$Q$52*условия!$Q$54</f>
        <v>1469999.9999999998</v>
      </c>
      <c r="EA71" s="33">
        <f>DZ71+EA51*условия!$Q$52*условия!$Q$54</f>
        <v>1469999.9999999998</v>
      </c>
      <c r="EB71" s="33">
        <f>EA71+EB51*условия!$Q$52*условия!$Q$54</f>
        <v>1469999.9999999998</v>
      </c>
      <c r="EC71" s="33">
        <f>EB71+EC51*условия!$Q$52*условия!$Q$54</f>
        <v>1469999.9999999998</v>
      </c>
      <c r="ED71" s="33">
        <f>EC71+ED51*условия!$Q$52*условия!$Q$54</f>
        <v>1469999.9999999998</v>
      </c>
      <c r="EE71" s="33">
        <f>ED71+EE51*условия!$Q$52*условия!$Q$54</f>
        <v>1469999.9999999998</v>
      </c>
      <c r="EF71" s="33">
        <f>EE71+EF51*условия!$Q$52*условия!$Q$54</f>
        <v>1469999.9999999998</v>
      </c>
      <c r="EG71" s="33">
        <f>EF71+EG51*условия!$Q$52*условия!$Q$54</f>
        <v>1469999.9999999998</v>
      </c>
      <c r="EH71" s="33">
        <f>EG71+EH51*условия!$Q$52*условия!$Q$54</f>
        <v>1469999.9999999998</v>
      </c>
      <c r="EI71" s="33">
        <f>EH71+EI51*условия!$Q$52*условия!$Q$54</f>
        <v>1469999.9999999998</v>
      </c>
      <c r="EJ71" s="3"/>
      <c r="EK71" s="3"/>
    </row>
    <row r="72" spans="1:14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</row>
    <row r="73" spans="1:141" x14ac:dyDescent="0.25">
      <c r="A73" s="3"/>
      <c r="B73" s="3"/>
      <c r="C73" s="3"/>
      <c r="D73" s="3"/>
      <c r="E73" s="3"/>
      <c r="F73" s="10" t="str">
        <f>KPI!$F$65</f>
        <v>расходы на аутсорсинг склада СиМ</v>
      </c>
      <c r="G73" s="3"/>
      <c r="H73" s="3"/>
      <c r="I73" s="3"/>
      <c r="J73" s="5" t="str">
        <f>IF($F73="","",INDEX(KPI!$I$11:$I$275,SUMIFS(KPI!$E$11:$E$275,KPI!$F$11:$F$275,$F73)))</f>
        <v>тыс.руб.</v>
      </c>
      <c r="K73" s="3"/>
      <c r="L73" s="3"/>
      <c r="M73" s="3"/>
      <c r="N73" s="3"/>
      <c r="O73" s="3"/>
      <c r="P73" s="3"/>
      <c r="Q73" s="12">
        <f>SUM(S73:EJ73)</f>
        <v>0</v>
      </c>
      <c r="R73" s="3"/>
      <c r="S73" s="55"/>
      <c r="T73" s="33">
        <f>IF(T31-T69&gt;0,(T31-T69)*T35*условия!$Q$110/1000,0)</f>
        <v>0</v>
      </c>
      <c r="U73" s="33">
        <f>IF(U31-U69&gt;0,(U31-U69)*U35*условия!$Q$110/1000,0)</f>
        <v>0</v>
      </c>
      <c r="V73" s="33">
        <f>IF(V31-V69&gt;0,(V31-V69)*V35*условия!$Q$110/1000,0)</f>
        <v>0</v>
      </c>
      <c r="W73" s="33">
        <f>IF(W31-W69&gt;0,(W31-W69)*W35*условия!$Q$110/1000,0)</f>
        <v>0</v>
      </c>
      <c r="X73" s="33">
        <f>IF(X31-X69&gt;0,(X31-X69)*X35*условия!$Q$110/1000,0)</f>
        <v>0</v>
      </c>
      <c r="Y73" s="33">
        <f>IF(Y31-Y69&gt;0,(Y31-Y69)*Y35*условия!$Q$110/1000,0)</f>
        <v>0</v>
      </c>
      <c r="Z73" s="33">
        <f>IF(Z31-Z69&gt;0,(Z31-Z69)*Z35*условия!$Q$110/1000,0)</f>
        <v>0</v>
      </c>
      <c r="AA73" s="33">
        <f>IF(AA31-AA69&gt;0,(AA31-AA69)*AA35*условия!$Q$110/1000,0)</f>
        <v>0</v>
      </c>
      <c r="AB73" s="33">
        <f>IF(AB31-AB69&gt;0,(AB31-AB69)*AB35*условия!$Q$110/1000,0)</f>
        <v>0</v>
      </c>
      <c r="AC73" s="33">
        <f>IF(AC31-AC69&gt;0,(AC31-AC69)*AC35*условия!$Q$110/1000,0)</f>
        <v>0</v>
      </c>
      <c r="AD73" s="33">
        <f>IF(AD31-AD69&gt;0,(AD31-AD69)*AD35*условия!$Q$110/1000,0)</f>
        <v>0</v>
      </c>
      <c r="AE73" s="33">
        <f>IF(AE31-AE69&gt;0,(AE31-AE69)*AE35*условия!$Q$110/1000,0)</f>
        <v>0</v>
      </c>
      <c r="AF73" s="33">
        <f>IF(AF31-AF69&gt;0,(AF31-AF69)*AF35*условия!$Q$110/1000,0)</f>
        <v>0</v>
      </c>
      <c r="AG73" s="33">
        <f>IF(AG31-AG69&gt;0,(AG31-AG69)*AG35*условия!$Q$110/1000,0)</f>
        <v>0</v>
      </c>
      <c r="AH73" s="33">
        <f>IF(AH31-AH69&gt;0,(AH31-AH69)*AH35*условия!$Q$110/1000,0)</f>
        <v>0</v>
      </c>
      <c r="AI73" s="33">
        <f>IF(AI31-AI69&gt;0,(AI31-AI69)*AI35*условия!$Q$110/1000,0)</f>
        <v>0</v>
      </c>
      <c r="AJ73" s="33">
        <f>IF(AJ31-AJ69&gt;0,(AJ31-AJ69)*AJ35*условия!$Q$110/1000,0)</f>
        <v>0</v>
      </c>
      <c r="AK73" s="33">
        <f>IF(AK31-AK69&gt;0,(AK31-AK69)*AK35*условия!$Q$110/1000,0)</f>
        <v>0</v>
      </c>
      <c r="AL73" s="33">
        <f>IF(AL31-AL69&gt;0,(AL31-AL69)*AL35*условия!$Q$110/1000,0)</f>
        <v>0</v>
      </c>
      <c r="AM73" s="33">
        <f>IF(AM31-AM69&gt;0,(AM31-AM69)*AM35*условия!$Q$110/1000,0)</f>
        <v>0</v>
      </c>
      <c r="AN73" s="33">
        <f>IF(AN31-AN69&gt;0,(AN31-AN69)*AN35*условия!$Q$110/1000,0)</f>
        <v>0</v>
      </c>
      <c r="AO73" s="33">
        <f>IF(AO31-AO69&gt;0,(AO31-AO69)*AO35*условия!$Q$110/1000,0)</f>
        <v>0</v>
      </c>
      <c r="AP73" s="33">
        <f>IF(AP31-AP69&gt;0,(AP31-AP69)*AP35*условия!$Q$110/1000,0)</f>
        <v>0</v>
      </c>
      <c r="AQ73" s="33">
        <f>IF(AQ31-AQ69&gt;0,(AQ31-AQ69)*AQ35*условия!$Q$110/1000,0)</f>
        <v>0</v>
      </c>
      <c r="AR73" s="33">
        <f>IF(AR31-AR69&gt;0,(AR31-AR69)*AR35*условия!$Q$110/1000,0)</f>
        <v>0</v>
      </c>
      <c r="AS73" s="33">
        <f>IF(AS31-AS69&gt;0,(AS31-AS69)*AS35*условия!$Q$110/1000,0)</f>
        <v>0</v>
      </c>
      <c r="AT73" s="33">
        <f>IF(AT31-AT69&gt;0,(AT31-AT69)*AT35*условия!$Q$110/1000,0)</f>
        <v>0</v>
      </c>
      <c r="AU73" s="33">
        <f>IF(AU31-AU69&gt;0,(AU31-AU69)*AU35*условия!$Q$110/1000,0)</f>
        <v>0</v>
      </c>
      <c r="AV73" s="33">
        <f>IF(AV31-AV69&gt;0,(AV31-AV69)*AV35*условия!$Q$110/1000,0)</f>
        <v>0</v>
      </c>
      <c r="AW73" s="33">
        <f>IF(AW31-AW69&gt;0,(AW31-AW69)*AW35*условия!$Q$110/1000,0)</f>
        <v>0</v>
      </c>
      <c r="AX73" s="33">
        <f>IF(AX31-AX69&gt;0,(AX31-AX69)*AX35*условия!$Q$110/1000,0)</f>
        <v>0</v>
      </c>
      <c r="AY73" s="33">
        <f>IF(AY31-AY69&gt;0,(AY31-AY69)*AY35*условия!$Q$110/1000,0)</f>
        <v>0</v>
      </c>
      <c r="AZ73" s="33">
        <f>IF(AZ31-AZ69&gt;0,(AZ31-AZ69)*AZ35*условия!$Q$110/1000,0)</f>
        <v>0</v>
      </c>
      <c r="BA73" s="33">
        <f>IF(BA31-BA69&gt;0,(BA31-BA69)*BA35*условия!$Q$110/1000,0)</f>
        <v>0</v>
      </c>
      <c r="BB73" s="33">
        <f>IF(BB31-BB69&gt;0,(BB31-BB69)*BB35*условия!$Q$110/1000,0)</f>
        <v>0</v>
      </c>
      <c r="BC73" s="33">
        <f>IF(BC31-BC69&gt;0,(BC31-BC69)*BC35*условия!$Q$110/1000,0)</f>
        <v>0</v>
      </c>
      <c r="BD73" s="33">
        <f>IF(BD31-BD69&gt;0,(BD31-BD69)*BD35*условия!$Q$110/1000,0)</f>
        <v>0</v>
      </c>
      <c r="BE73" s="33">
        <f>IF(BE31-BE69&gt;0,(BE31-BE69)*BE35*условия!$Q$110/1000,0)</f>
        <v>0</v>
      </c>
      <c r="BF73" s="33">
        <f>IF(BF31-BF69&gt;0,(BF31-BF69)*BF35*условия!$Q$110/1000,0)</f>
        <v>0</v>
      </c>
      <c r="BG73" s="33">
        <f>IF(BG31-BG69&gt;0,(BG31-BG69)*BG35*условия!$Q$110/1000,0)</f>
        <v>0</v>
      </c>
      <c r="BH73" s="33">
        <f>IF(BH31-BH69&gt;0,(BH31-BH69)*BH35*условия!$Q$110/1000,0)</f>
        <v>0</v>
      </c>
      <c r="BI73" s="33">
        <f>IF(BI31-BI69&gt;0,(BI31-BI69)*BI35*условия!$Q$110/1000,0)</f>
        <v>0</v>
      </c>
      <c r="BJ73" s="33">
        <f>IF(BJ31-BJ69&gt;0,(BJ31-BJ69)*BJ35*условия!$Q$110/1000,0)</f>
        <v>0</v>
      </c>
      <c r="BK73" s="33">
        <f>IF(BK31-BK69&gt;0,(BK31-BK69)*BK35*условия!$Q$110/1000,0)</f>
        <v>0</v>
      </c>
      <c r="BL73" s="33">
        <f>IF(BL31-BL69&gt;0,(BL31-BL69)*BL35*условия!$Q$110/1000,0)</f>
        <v>0</v>
      </c>
      <c r="BM73" s="33">
        <f>IF(BM31-BM69&gt;0,(BM31-BM69)*BM35*условия!$Q$110/1000,0)</f>
        <v>0</v>
      </c>
      <c r="BN73" s="33">
        <f>IF(BN31-BN69&gt;0,(BN31-BN69)*BN35*условия!$Q$110/1000,0)</f>
        <v>0</v>
      </c>
      <c r="BO73" s="33">
        <f>IF(BO31-BO69&gt;0,(BO31-BO69)*BO35*условия!$Q$110/1000,0)</f>
        <v>0</v>
      </c>
      <c r="BP73" s="33">
        <f>IF(BP31-BP69&gt;0,(BP31-BP69)*BP35*условия!$Q$110/1000,0)</f>
        <v>0</v>
      </c>
      <c r="BQ73" s="33">
        <f>IF(BQ31-BQ69&gt;0,(BQ31-BQ69)*BQ35*условия!$Q$110/1000,0)</f>
        <v>0</v>
      </c>
      <c r="BR73" s="33">
        <f>IF(BR31-BR69&gt;0,(BR31-BR69)*BR35*условия!$Q$110/1000,0)</f>
        <v>0</v>
      </c>
      <c r="BS73" s="33">
        <f>IF(BS31-BS69&gt;0,(BS31-BS69)*BS35*условия!$Q$110/1000,0)</f>
        <v>0</v>
      </c>
      <c r="BT73" s="33">
        <f>IF(BT31-BT69&gt;0,(BT31-BT69)*BT35*условия!$Q$110/1000,0)</f>
        <v>0</v>
      </c>
      <c r="BU73" s="33">
        <f>IF(BU31-BU69&gt;0,(BU31-BU69)*BU35*условия!$Q$110/1000,0)</f>
        <v>0</v>
      </c>
      <c r="BV73" s="33">
        <f>IF(BV31-BV69&gt;0,(BV31-BV69)*BV35*условия!$Q$110/1000,0)</f>
        <v>0</v>
      </c>
      <c r="BW73" s="33">
        <f>IF(BW31-BW69&gt;0,(BW31-BW69)*BW35*условия!$Q$110/1000,0)</f>
        <v>0</v>
      </c>
      <c r="BX73" s="33">
        <f>IF(BX31-BX69&gt;0,(BX31-BX69)*BX35*условия!$Q$110/1000,0)</f>
        <v>0</v>
      </c>
      <c r="BY73" s="33">
        <f>IF(BY31-BY69&gt;0,(BY31-BY69)*BY35*условия!$Q$110/1000,0)</f>
        <v>0</v>
      </c>
      <c r="BZ73" s="33">
        <f>IF(BZ31-BZ69&gt;0,(BZ31-BZ69)*BZ35*условия!$Q$110/1000,0)</f>
        <v>0</v>
      </c>
      <c r="CA73" s="33">
        <f>IF(CA31-CA69&gt;0,(CA31-CA69)*CA35*условия!$Q$110/1000,0)</f>
        <v>0</v>
      </c>
      <c r="CB73" s="33">
        <f>IF(CB31-CB69&gt;0,(CB31-CB69)*CB35*условия!$Q$110/1000,0)</f>
        <v>0</v>
      </c>
      <c r="CC73" s="33">
        <f>IF(CC31-CC69&gt;0,(CC31-CC69)*CC35*условия!$Q$110/1000,0)</f>
        <v>0</v>
      </c>
      <c r="CD73" s="33">
        <f>IF(CD31-CD69&gt;0,(CD31-CD69)*CD35*условия!$Q$110/1000,0)</f>
        <v>0</v>
      </c>
      <c r="CE73" s="33">
        <f>IF(CE31-CE69&gt;0,(CE31-CE69)*CE35*условия!$Q$110/1000,0)</f>
        <v>0</v>
      </c>
      <c r="CF73" s="33">
        <f>IF(CF31-CF69&gt;0,(CF31-CF69)*CF35*условия!$Q$110/1000,0)</f>
        <v>0</v>
      </c>
      <c r="CG73" s="33">
        <f>IF(CG31-CG69&gt;0,(CG31-CG69)*CG35*условия!$Q$110/1000,0)</f>
        <v>0</v>
      </c>
      <c r="CH73" s="33">
        <f>IF(CH31-CH69&gt;0,(CH31-CH69)*CH35*условия!$Q$110/1000,0)</f>
        <v>0</v>
      </c>
      <c r="CI73" s="33">
        <f>IF(CI31-CI69&gt;0,(CI31-CI69)*CI35*условия!$Q$110/1000,0)</f>
        <v>0</v>
      </c>
      <c r="CJ73" s="33">
        <f>IF(CJ31-CJ69&gt;0,(CJ31-CJ69)*CJ35*условия!$Q$110/1000,0)</f>
        <v>0</v>
      </c>
      <c r="CK73" s="33">
        <f>IF(CK31-CK69&gt;0,(CK31-CK69)*CK35*условия!$Q$110/1000,0)</f>
        <v>0</v>
      </c>
      <c r="CL73" s="33">
        <f>IF(CL31-CL69&gt;0,(CL31-CL69)*CL35*условия!$Q$110/1000,0)</f>
        <v>0</v>
      </c>
      <c r="CM73" s="33">
        <f>IF(CM31-CM69&gt;0,(CM31-CM69)*CM35*условия!$Q$110/1000,0)</f>
        <v>0</v>
      </c>
      <c r="CN73" s="33">
        <f>IF(CN31-CN69&gt;0,(CN31-CN69)*CN35*условия!$Q$110/1000,0)</f>
        <v>0</v>
      </c>
      <c r="CO73" s="33">
        <f>IF(CO31-CO69&gt;0,(CO31-CO69)*CO35*условия!$Q$110/1000,0)</f>
        <v>0</v>
      </c>
      <c r="CP73" s="33">
        <f>IF(CP31-CP69&gt;0,(CP31-CP69)*CP35*условия!$Q$110/1000,0)</f>
        <v>0</v>
      </c>
      <c r="CQ73" s="33">
        <f>IF(CQ31-CQ69&gt;0,(CQ31-CQ69)*CQ35*условия!$Q$110/1000,0)</f>
        <v>0</v>
      </c>
      <c r="CR73" s="33">
        <f>IF(CR31-CR69&gt;0,(CR31-CR69)*CR35*условия!$Q$110/1000,0)</f>
        <v>0</v>
      </c>
      <c r="CS73" s="33">
        <f>IF(CS31-CS69&gt;0,(CS31-CS69)*CS35*условия!$Q$110/1000,0)</f>
        <v>0</v>
      </c>
      <c r="CT73" s="33">
        <f>IF(CT31-CT69&gt;0,(CT31-CT69)*CT35*условия!$Q$110/1000,0)</f>
        <v>0</v>
      </c>
      <c r="CU73" s="33">
        <f>IF(CU31-CU69&gt;0,(CU31-CU69)*CU35*условия!$Q$110/1000,0)</f>
        <v>0</v>
      </c>
      <c r="CV73" s="33">
        <f>IF(CV31-CV69&gt;0,(CV31-CV69)*CV35*условия!$Q$110/1000,0)</f>
        <v>0</v>
      </c>
      <c r="CW73" s="33">
        <f>IF(CW31-CW69&gt;0,(CW31-CW69)*CW35*условия!$Q$110/1000,0)</f>
        <v>0</v>
      </c>
      <c r="CX73" s="33">
        <f>IF(CX31-CX69&gt;0,(CX31-CX69)*CX35*условия!$Q$110/1000,0)</f>
        <v>0</v>
      </c>
      <c r="CY73" s="33">
        <f>IF(CY31-CY69&gt;0,(CY31-CY69)*CY35*условия!$Q$110/1000,0)</f>
        <v>0</v>
      </c>
      <c r="CZ73" s="33">
        <f>IF(CZ31-CZ69&gt;0,(CZ31-CZ69)*CZ35*условия!$Q$110/1000,0)</f>
        <v>0</v>
      </c>
      <c r="DA73" s="33">
        <f>IF(DA31-DA69&gt;0,(DA31-DA69)*DA35*условия!$Q$110/1000,0)</f>
        <v>0</v>
      </c>
      <c r="DB73" s="33">
        <f>IF(DB31-DB69&gt;0,(DB31-DB69)*DB35*условия!$Q$110/1000,0)</f>
        <v>0</v>
      </c>
      <c r="DC73" s="33">
        <f>IF(DC31-DC69&gt;0,(DC31-DC69)*DC35*условия!$Q$110/1000,0)</f>
        <v>0</v>
      </c>
      <c r="DD73" s="33">
        <f>IF(DD31-DD69&gt;0,(DD31-DD69)*DD35*условия!$Q$110/1000,0)</f>
        <v>0</v>
      </c>
      <c r="DE73" s="33">
        <f>IF(DE31-DE69&gt;0,(DE31-DE69)*DE35*условия!$Q$110/1000,0)</f>
        <v>0</v>
      </c>
      <c r="DF73" s="33">
        <f>IF(DF31-DF69&gt;0,(DF31-DF69)*DF35*условия!$Q$110/1000,0)</f>
        <v>0</v>
      </c>
      <c r="DG73" s="33">
        <f>IF(DG31-DG69&gt;0,(DG31-DG69)*DG35*условия!$Q$110/1000,0)</f>
        <v>0</v>
      </c>
      <c r="DH73" s="33">
        <f>IF(DH31-DH69&gt;0,(DH31-DH69)*DH35*условия!$Q$110/1000,0)</f>
        <v>0</v>
      </c>
      <c r="DI73" s="33">
        <f>IF(DI31-DI69&gt;0,(DI31-DI69)*DI35*условия!$Q$110/1000,0)</f>
        <v>0</v>
      </c>
      <c r="DJ73" s="33">
        <f>IF(DJ31-DJ69&gt;0,(DJ31-DJ69)*DJ35*условия!$Q$110/1000,0)</f>
        <v>0</v>
      </c>
      <c r="DK73" s="33">
        <f>IF(DK31-DK69&gt;0,(DK31-DK69)*DK35*условия!$Q$110/1000,0)</f>
        <v>0</v>
      </c>
      <c r="DL73" s="33">
        <f>IF(DL31-DL69&gt;0,(DL31-DL69)*DL35*условия!$Q$110/1000,0)</f>
        <v>0</v>
      </c>
      <c r="DM73" s="33">
        <f>IF(DM31-DM69&gt;0,(DM31-DM69)*DM35*условия!$Q$110/1000,0)</f>
        <v>0</v>
      </c>
      <c r="DN73" s="33">
        <f>IF(DN31-DN69&gt;0,(DN31-DN69)*DN35*условия!$Q$110/1000,0)</f>
        <v>0</v>
      </c>
      <c r="DO73" s="33">
        <f>IF(DO31-DO69&gt;0,(DO31-DO69)*DO35*условия!$Q$110/1000,0)</f>
        <v>0</v>
      </c>
      <c r="DP73" s="33">
        <f>IF(DP31-DP69&gt;0,(DP31-DP69)*DP35*условия!$Q$110/1000,0)</f>
        <v>0</v>
      </c>
      <c r="DQ73" s="33">
        <f>IF(DQ31-DQ69&gt;0,(DQ31-DQ69)*DQ35*условия!$Q$110/1000,0)</f>
        <v>0</v>
      </c>
      <c r="DR73" s="33">
        <f>IF(DR31-DR69&gt;0,(DR31-DR69)*DR35*условия!$Q$110/1000,0)</f>
        <v>0</v>
      </c>
      <c r="DS73" s="33">
        <f>IF(DS31-DS69&gt;0,(DS31-DS69)*DS35*условия!$Q$110/1000,0)</f>
        <v>0</v>
      </c>
      <c r="DT73" s="33">
        <f>IF(DT31-DT69&gt;0,(DT31-DT69)*DT35*условия!$Q$110/1000,0)</f>
        <v>0</v>
      </c>
      <c r="DU73" s="33">
        <f>IF(DU31-DU69&gt;0,(DU31-DU69)*DU35*условия!$Q$110/1000,0)</f>
        <v>0</v>
      </c>
      <c r="DV73" s="33">
        <f>IF(DV31-DV69&gt;0,(DV31-DV69)*DV35*условия!$Q$110/1000,0)</f>
        <v>0</v>
      </c>
      <c r="DW73" s="33">
        <f>IF(DW31-DW69&gt;0,(DW31-DW69)*DW35*условия!$Q$110/1000,0)</f>
        <v>0</v>
      </c>
      <c r="DX73" s="33">
        <f>IF(DX31-DX69&gt;0,(DX31-DX69)*DX35*условия!$Q$110/1000,0)</f>
        <v>0</v>
      </c>
      <c r="DY73" s="33">
        <f>IF(DY31-DY69&gt;0,(DY31-DY69)*DY35*условия!$Q$110/1000,0)</f>
        <v>0</v>
      </c>
      <c r="DZ73" s="33">
        <f>IF(DZ31-DZ69&gt;0,(DZ31-DZ69)*DZ35*условия!$Q$110/1000,0)</f>
        <v>0</v>
      </c>
      <c r="EA73" s="33">
        <f>IF(EA31-EA69&gt;0,(EA31-EA69)*EA35*условия!$Q$110/1000,0)</f>
        <v>0</v>
      </c>
      <c r="EB73" s="33">
        <f>IF(EB31-EB69&gt;0,(EB31-EB69)*EB35*условия!$Q$110/1000,0)</f>
        <v>0</v>
      </c>
      <c r="EC73" s="33">
        <f>IF(EC31-EC69&gt;0,(EC31-EC69)*EC35*условия!$Q$110/1000,0)</f>
        <v>0</v>
      </c>
      <c r="ED73" s="33">
        <f>IF(ED31-ED69&gt;0,(ED31-ED69)*ED35*условия!$Q$110/1000,0)</f>
        <v>0</v>
      </c>
      <c r="EE73" s="33">
        <f>IF(EE31-EE69&gt;0,(EE31-EE69)*EE35*условия!$Q$110/1000,0)</f>
        <v>0</v>
      </c>
      <c r="EF73" s="33">
        <f>IF(EF31-EF69&gt;0,(EF31-EF69)*EF35*условия!$Q$110/1000,0)</f>
        <v>0</v>
      </c>
      <c r="EG73" s="33">
        <f>IF(EG31-EG69&gt;0,(EG31-EG69)*EG35*условия!$Q$110/1000,0)</f>
        <v>0</v>
      </c>
      <c r="EH73" s="33">
        <f>IF(EH31-EH69&gt;0,(EH31-EH69)*EH35*условия!$Q$110/1000,0)</f>
        <v>0</v>
      </c>
      <c r="EI73" s="33">
        <f>IF(EI31-EI69&gt;0,(EI31-EI69)*EI35*условия!$Q$110/1000,0)</f>
        <v>0</v>
      </c>
      <c r="EJ73" s="3"/>
      <c r="EK73" s="3"/>
    </row>
    <row r="74" spans="1:14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</row>
    <row r="75" spans="1:141" x14ac:dyDescent="0.25">
      <c r="A75" s="3"/>
      <c r="B75" s="3"/>
      <c r="C75" s="3"/>
      <c r="D75" s="3"/>
      <c r="E75" s="3"/>
      <c r="F75" s="10" t="str">
        <f>KPI!$F$66</f>
        <v>расходы на аутсорсинг склада ГП</v>
      </c>
      <c r="G75" s="3"/>
      <c r="H75" s="3"/>
      <c r="I75" s="3"/>
      <c r="J75" s="5" t="str">
        <f>IF($F75="","",INDEX(KPI!$I$11:$I$275,SUMIFS(KPI!$E$11:$E$275,KPI!$F$11:$F$275,$F75)))</f>
        <v>тыс.руб.</v>
      </c>
      <c r="K75" s="3"/>
      <c r="L75" s="3"/>
      <c r="M75" s="3"/>
      <c r="N75" s="3"/>
      <c r="O75" s="3"/>
      <c r="P75" s="3"/>
      <c r="Q75" s="12">
        <f>SUM(S75:EJ75)</f>
        <v>86.745554760862063</v>
      </c>
      <c r="R75" s="3"/>
      <c r="S75" s="55"/>
      <c r="T75" s="33">
        <f>IF(T23-T71&gt;0,(T23-T71)*T35*условия!$Q$112/1000,0)</f>
        <v>0</v>
      </c>
      <c r="U75" s="33">
        <f>IF(U23-U71&gt;0,(U23-U71)*U35*условия!$Q$112/1000,0)</f>
        <v>0</v>
      </c>
      <c r="V75" s="33">
        <f>IF(V23-V71&gt;0,(V23-V71)*V35*условия!$Q$112/1000,0)</f>
        <v>0</v>
      </c>
      <c r="W75" s="33">
        <f>IF(W23-W71&gt;0,(W23-W71)*W35*условия!$Q$112/1000,0)</f>
        <v>0</v>
      </c>
      <c r="X75" s="33">
        <f>IF(X23-X71&gt;0,(X23-X71)*X35*условия!$Q$112/1000,0)</f>
        <v>0</v>
      </c>
      <c r="Y75" s="33">
        <f>IF(Y23-Y71&gt;0,(Y23-Y71)*Y35*условия!$Q$112/1000,0)</f>
        <v>0</v>
      </c>
      <c r="Z75" s="33">
        <f>IF(Z23-Z71&gt;0,(Z23-Z71)*Z35*условия!$Q$112/1000,0)</f>
        <v>0</v>
      </c>
      <c r="AA75" s="33">
        <f>IF(AA23-AA71&gt;0,(AA23-AA71)*AA35*условия!$Q$112/1000,0)</f>
        <v>0</v>
      </c>
      <c r="AB75" s="33">
        <f>IF(AB23-AB71&gt;0,(AB23-AB71)*AB35*условия!$Q$112/1000,0)</f>
        <v>0</v>
      </c>
      <c r="AC75" s="33">
        <f>IF(AC23-AC71&gt;0,(AC23-AC71)*AC35*условия!$Q$112/1000,0)</f>
        <v>0</v>
      </c>
      <c r="AD75" s="33">
        <f>IF(AD23-AD71&gt;0,(AD23-AD71)*AD35*условия!$Q$112/1000,0)</f>
        <v>0</v>
      </c>
      <c r="AE75" s="33">
        <f>IF(AE23-AE71&gt;0,(AE23-AE71)*AE35*условия!$Q$112/1000,0)</f>
        <v>0</v>
      </c>
      <c r="AF75" s="33">
        <f>IF(AF23-AF71&gt;0,(AF23-AF71)*AF35*условия!$Q$112/1000,0)</f>
        <v>0</v>
      </c>
      <c r="AG75" s="33">
        <f>IF(AG23-AG71&gt;0,(AG23-AG71)*AG35*условия!$Q$112/1000,0)</f>
        <v>0</v>
      </c>
      <c r="AH75" s="33">
        <f>IF(AH23-AH71&gt;0,(AH23-AH71)*AH35*условия!$Q$112/1000,0)</f>
        <v>0</v>
      </c>
      <c r="AI75" s="33">
        <f>IF(AI23-AI71&gt;0,(AI23-AI71)*AI35*условия!$Q$112/1000,0)</f>
        <v>0</v>
      </c>
      <c r="AJ75" s="33">
        <f>IF(AJ23-AJ71&gt;0,(AJ23-AJ71)*AJ35*условия!$Q$112/1000,0)</f>
        <v>0</v>
      </c>
      <c r="AK75" s="33">
        <f>IF(AK23-AK71&gt;0,(AK23-AK71)*AK35*условия!$Q$112/1000,0)</f>
        <v>0</v>
      </c>
      <c r="AL75" s="33">
        <f>IF(AL23-AL71&gt;0,(AL23-AL71)*AL35*условия!$Q$112/1000,0)</f>
        <v>0</v>
      </c>
      <c r="AM75" s="33">
        <f>IF(AM23-AM71&gt;0,(AM23-AM71)*AM35*условия!$Q$112/1000,0)</f>
        <v>0</v>
      </c>
      <c r="AN75" s="33">
        <f>IF(AN23-AN71&gt;0,(AN23-AN71)*AN35*условия!$Q$112/1000,0)</f>
        <v>0</v>
      </c>
      <c r="AO75" s="33">
        <f>IF(AO23-AO71&gt;0,(AO23-AO71)*AO35*условия!$Q$112/1000,0)</f>
        <v>0</v>
      </c>
      <c r="AP75" s="33">
        <f>IF(AP23-AP71&gt;0,(AP23-AP71)*AP35*условия!$Q$112/1000,0)</f>
        <v>0</v>
      </c>
      <c r="AQ75" s="33">
        <f>IF(AQ23-AQ71&gt;0,(AQ23-AQ71)*AQ35*условия!$Q$112/1000,0)</f>
        <v>0</v>
      </c>
      <c r="AR75" s="33">
        <f>IF(AR23-AR71&gt;0,(AR23-AR71)*AR35*условия!$Q$112/1000,0)</f>
        <v>0</v>
      </c>
      <c r="AS75" s="33">
        <f>IF(AS23-AS71&gt;0,(AS23-AS71)*AS35*условия!$Q$112/1000,0)</f>
        <v>0</v>
      </c>
      <c r="AT75" s="33">
        <f>IF(AT23-AT71&gt;0,(AT23-AT71)*AT35*условия!$Q$112/1000,0)</f>
        <v>0</v>
      </c>
      <c r="AU75" s="33">
        <f>IF(AU23-AU71&gt;0,(AU23-AU71)*AU35*условия!$Q$112/1000,0)</f>
        <v>0</v>
      </c>
      <c r="AV75" s="33">
        <f>IF(AV23-AV71&gt;0,(AV23-AV71)*AV35*условия!$Q$112/1000,0)</f>
        <v>0</v>
      </c>
      <c r="AW75" s="33">
        <f>IF(AW23-AW71&gt;0,(AW23-AW71)*AW35*условия!$Q$112/1000,0)</f>
        <v>0</v>
      </c>
      <c r="AX75" s="33">
        <f>IF(AX23-AX71&gt;0,(AX23-AX71)*AX35*условия!$Q$112/1000,0)</f>
        <v>0</v>
      </c>
      <c r="AY75" s="33">
        <f>IF(AY23-AY71&gt;0,(AY23-AY71)*AY35*условия!$Q$112/1000,0)</f>
        <v>0</v>
      </c>
      <c r="AZ75" s="33">
        <f>IF(AZ23-AZ71&gt;0,(AZ23-AZ71)*AZ35*условия!$Q$112/1000,0)</f>
        <v>0</v>
      </c>
      <c r="BA75" s="33">
        <f>IF(BA23-BA71&gt;0,(BA23-BA71)*BA35*условия!$Q$112/1000,0)</f>
        <v>0</v>
      </c>
      <c r="BB75" s="33">
        <f>IF(BB23-BB71&gt;0,(BB23-BB71)*BB35*условия!$Q$112/1000,0)</f>
        <v>0</v>
      </c>
      <c r="BC75" s="33">
        <f>IF(BC23-BC71&gt;0,(BC23-BC71)*BC35*условия!$Q$112/1000,0)</f>
        <v>0</v>
      </c>
      <c r="BD75" s="33">
        <f>IF(BD23-BD71&gt;0,(BD23-BD71)*BD35*условия!$Q$112/1000,0)</f>
        <v>0</v>
      </c>
      <c r="BE75" s="33">
        <f>IF(BE23-BE71&gt;0,(BE23-BE71)*BE35*условия!$Q$112/1000,0)</f>
        <v>0</v>
      </c>
      <c r="BF75" s="33">
        <f>IF(BF23-BF71&gt;0,(BF23-BF71)*BF35*условия!$Q$112/1000,0)</f>
        <v>0</v>
      </c>
      <c r="BG75" s="33">
        <f>IF(BG23-BG71&gt;0,(BG23-BG71)*BG35*условия!$Q$112/1000,0)</f>
        <v>0</v>
      </c>
      <c r="BH75" s="33">
        <f>IF(BH23-BH71&gt;0,(BH23-BH71)*BH35*условия!$Q$112/1000,0)</f>
        <v>0</v>
      </c>
      <c r="BI75" s="33">
        <f>IF(BI23-BI71&gt;0,(BI23-BI71)*BI35*условия!$Q$112/1000,0)</f>
        <v>0</v>
      </c>
      <c r="BJ75" s="33">
        <f>IF(BJ23-BJ71&gt;0,(BJ23-BJ71)*BJ35*условия!$Q$112/1000,0)</f>
        <v>0</v>
      </c>
      <c r="BK75" s="33">
        <f>IF(BK23-BK71&gt;0,(BK23-BK71)*BK35*условия!$Q$112/1000,0)</f>
        <v>0</v>
      </c>
      <c r="BL75" s="33">
        <f>IF(BL23-BL71&gt;0,(BL23-BL71)*BL35*условия!$Q$112/1000,0)</f>
        <v>0</v>
      </c>
      <c r="BM75" s="33">
        <f>IF(BM23-BM71&gt;0,(BM23-BM71)*BM35*условия!$Q$112/1000,0)</f>
        <v>0</v>
      </c>
      <c r="BN75" s="33">
        <f>IF(BN23-BN71&gt;0,(BN23-BN71)*BN35*условия!$Q$112/1000,0)</f>
        <v>0</v>
      </c>
      <c r="BO75" s="33">
        <f>IF(BO23-BO71&gt;0,(BO23-BO71)*BO35*условия!$Q$112/1000,0)</f>
        <v>0</v>
      </c>
      <c r="BP75" s="33">
        <f>IF(BP23-BP71&gt;0,(BP23-BP71)*BP35*условия!$Q$112/1000,0)</f>
        <v>0</v>
      </c>
      <c r="BQ75" s="33">
        <f>IF(BQ23-BQ71&gt;0,(BQ23-BQ71)*BQ35*условия!$Q$112/1000,0)</f>
        <v>0</v>
      </c>
      <c r="BR75" s="33">
        <f>IF(BR23-BR71&gt;0,(BR23-BR71)*BR35*условия!$Q$112/1000,0)</f>
        <v>0</v>
      </c>
      <c r="BS75" s="33">
        <f>IF(BS23-BS71&gt;0,(BS23-BS71)*BS35*условия!$Q$112/1000,0)</f>
        <v>0</v>
      </c>
      <c r="BT75" s="33">
        <f>IF(BT23-BT71&gt;0,(BT23-BT71)*BT35*условия!$Q$112/1000,0)</f>
        <v>0</v>
      </c>
      <c r="BU75" s="33">
        <f>IF(BU23-BU71&gt;0,(BU23-BU71)*BU35*условия!$Q$112/1000,0)</f>
        <v>0</v>
      </c>
      <c r="BV75" s="33">
        <f>IF(BV23-BV71&gt;0,(BV23-BV71)*BV35*условия!$Q$112/1000,0)</f>
        <v>0</v>
      </c>
      <c r="BW75" s="33">
        <f>IF(BW23-BW71&gt;0,(BW23-BW71)*BW35*условия!$Q$112/1000,0)</f>
        <v>0</v>
      </c>
      <c r="BX75" s="33">
        <f>IF(BX23-BX71&gt;0,(BX23-BX71)*BX35*условия!$Q$112/1000,0)</f>
        <v>0</v>
      </c>
      <c r="BY75" s="33">
        <f>IF(BY23-BY71&gt;0,(BY23-BY71)*BY35*условия!$Q$112/1000,0)</f>
        <v>0</v>
      </c>
      <c r="BZ75" s="33">
        <f>IF(BZ23-BZ71&gt;0,(BZ23-BZ71)*BZ35*условия!$Q$112/1000,0)</f>
        <v>0</v>
      </c>
      <c r="CA75" s="33">
        <f>IF(CA23-CA71&gt;0,(CA23-CA71)*CA35*условия!$Q$112/1000,0)</f>
        <v>0</v>
      </c>
      <c r="CB75" s="33">
        <f>IF(CB23-CB71&gt;0,(CB23-CB71)*CB35*условия!$Q$112/1000,0)</f>
        <v>0</v>
      </c>
      <c r="CC75" s="33">
        <f>IF(CC23-CC71&gt;0,(CC23-CC71)*CC35*условия!$Q$112/1000,0)</f>
        <v>0</v>
      </c>
      <c r="CD75" s="33">
        <f>IF(CD23-CD71&gt;0,(CD23-CD71)*CD35*условия!$Q$112/1000,0)</f>
        <v>0</v>
      </c>
      <c r="CE75" s="33">
        <f>IF(CE23-CE71&gt;0,(CE23-CE71)*CE35*условия!$Q$112/1000,0)</f>
        <v>0</v>
      </c>
      <c r="CF75" s="33">
        <f>IF(CF23-CF71&gt;0,(CF23-CF71)*CF35*условия!$Q$112/1000,0)</f>
        <v>0</v>
      </c>
      <c r="CG75" s="33">
        <f>IF(CG23-CG71&gt;0,(CG23-CG71)*CG35*условия!$Q$112/1000,0)</f>
        <v>0</v>
      </c>
      <c r="CH75" s="33">
        <f>IF(CH23-CH71&gt;0,(CH23-CH71)*CH35*условия!$Q$112/1000,0)</f>
        <v>0</v>
      </c>
      <c r="CI75" s="33">
        <f>IF(CI23-CI71&gt;0,(CI23-CI71)*CI35*условия!$Q$112/1000,0)</f>
        <v>0</v>
      </c>
      <c r="CJ75" s="33">
        <f>IF(CJ23-CJ71&gt;0,(CJ23-CJ71)*CJ35*условия!$Q$112/1000,0)</f>
        <v>0</v>
      </c>
      <c r="CK75" s="33">
        <f>IF(CK23-CK71&gt;0,(CK23-CK71)*CK35*условия!$Q$112/1000,0)</f>
        <v>0</v>
      </c>
      <c r="CL75" s="33">
        <f>IF(CL23-CL71&gt;0,(CL23-CL71)*CL35*условия!$Q$112/1000,0)</f>
        <v>0</v>
      </c>
      <c r="CM75" s="33">
        <f>IF(CM23-CM71&gt;0,(CM23-CM71)*CM35*условия!$Q$112/1000,0)</f>
        <v>0</v>
      </c>
      <c r="CN75" s="33">
        <f>IF(CN23-CN71&gt;0,(CN23-CN71)*CN35*условия!$Q$112/1000,0)</f>
        <v>0</v>
      </c>
      <c r="CO75" s="33">
        <f>IF(CO23-CO71&gt;0,(CO23-CO71)*CO35*условия!$Q$112/1000,0)</f>
        <v>0</v>
      </c>
      <c r="CP75" s="33">
        <f>IF(CP23-CP71&gt;0,(CP23-CP71)*CP35*условия!$Q$112/1000,0)</f>
        <v>0</v>
      </c>
      <c r="CQ75" s="33">
        <f>IF(CQ23-CQ71&gt;0,(CQ23-CQ71)*CQ35*условия!$Q$112/1000,0)</f>
        <v>0</v>
      </c>
      <c r="CR75" s="33">
        <f>IF(CR23-CR71&gt;0,(CR23-CR71)*CR35*условия!$Q$112/1000,0)</f>
        <v>0</v>
      </c>
      <c r="CS75" s="33">
        <f>IF(CS23-CS71&gt;0,(CS23-CS71)*CS35*условия!$Q$112/1000,0)</f>
        <v>0</v>
      </c>
      <c r="CT75" s="33">
        <f>IF(CT23-CT71&gt;0,(CT23-CT71)*CT35*условия!$Q$112/1000,0)</f>
        <v>0</v>
      </c>
      <c r="CU75" s="33">
        <f>IF(CU23-CU71&gt;0,(CU23-CU71)*CU35*условия!$Q$112/1000,0)</f>
        <v>0</v>
      </c>
      <c r="CV75" s="33">
        <f>IF(CV23-CV71&gt;0,(CV23-CV71)*CV35*условия!$Q$112/1000,0)</f>
        <v>0</v>
      </c>
      <c r="CW75" s="33">
        <f>IF(CW23-CW71&gt;0,(CW23-CW71)*CW35*условия!$Q$112/1000,0)</f>
        <v>0</v>
      </c>
      <c r="CX75" s="33">
        <f>IF(CX23-CX71&gt;0,(CX23-CX71)*CX35*условия!$Q$112/1000,0)</f>
        <v>86.745554760862063</v>
      </c>
      <c r="CY75" s="33">
        <f>IF(CY23-CY71&gt;0,(CY23-CY71)*CY35*условия!$Q$112/1000,0)</f>
        <v>0</v>
      </c>
      <c r="CZ75" s="33">
        <f>IF(CZ23-CZ71&gt;0,(CZ23-CZ71)*CZ35*условия!$Q$112/1000,0)</f>
        <v>0</v>
      </c>
      <c r="DA75" s="33">
        <f>IF(DA23-DA71&gt;0,(DA23-DA71)*DA35*условия!$Q$112/1000,0)</f>
        <v>0</v>
      </c>
      <c r="DB75" s="33">
        <f>IF(DB23-DB71&gt;0,(DB23-DB71)*DB35*условия!$Q$112/1000,0)</f>
        <v>0</v>
      </c>
      <c r="DC75" s="33">
        <f>IF(DC23-DC71&gt;0,(DC23-DC71)*DC35*условия!$Q$112/1000,0)</f>
        <v>0</v>
      </c>
      <c r="DD75" s="33">
        <f>IF(DD23-DD71&gt;0,(DD23-DD71)*DD35*условия!$Q$112/1000,0)</f>
        <v>0</v>
      </c>
      <c r="DE75" s="33">
        <f>IF(DE23-DE71&gt;0,(DE23-DE71)*DE35*условия!$Q$112/1000,0)</f>
        <v>0</v>
      </c>
      <c r="DF75" s="33">
        <f>IF(DF23-DF71&gt;0,(DF23-DF71)*DF35*условия!$Q$112/1000,0)</f>
        <v>0</v>
      </c>
      <c r="DG75" s="33">
        <f>IF(DG23-DG71&gt;0,(DG23-DG71)*DG35*условия!$Q$112/1000,0)</f>
        <v>0</v>
      </c>
      <c r="DH75" s="33">
        <f>IF(DH23-DH71&gt;0,(DH23-DH71)*DH35*условия!$Q$112/1000,0)</f>
        <v>0</v>
      </c>
      <c r="DI75" s="33">
        <f>IF(DI23-DI71&gt;0,(DI23-DI71)*DI35*условия!$Q$112/1000,0)</f>
        <v>0</v>
      </c>
      <c r="DJ75" s="33">
        <f>IF(DJ23-DJ71&gt;0,(DJ23-DJ71)*DJ35*условия!$Q$112/1000,0)</f>
        <v>0</v>
      </c>
      <c r="DK75" s="33">
        <f>IF(DK23-DK71&gt;0,(DK23-DK71)*DK35*условия!$Q$112/1000,0)</f>
        <v>0</v>
      </c>
      <c r="DL75" s="33">
        <f>IF(DL23-DL71&gt;0,(DL23-DL71)*DL35*условия!$Q$112/1000,0)</f>
        <v>0</v>
      </c>
      <c r="DM75" s="33">
        <f>IF(DM23-DM71&gt;0,(DM23-DM71)*DM35*условия!$Q$112/1000,0)</f>
        <v>0</v>
      </c>
      <c r="DN75" s="33">
        <f>IF(DN23-DN71&gt;0,(DN23-DN71)*DN35*условия!$Q$112/1000,0)</f>
        <v>0</v>
      </c>
      <c r="DO75" s="33">
        <f>IF(DO23-DO71&gt;0,(DO23-DO71)*DO35*условия!$Q$112/1000,0)</f>
        <v>0</v>
      </c>
      <c r="DP75" s="33">
        <f>IF(DP23-DP71&gt;0,(DP23-DP71)*DP35*условия!$Q$112/1000,0)</f>
        <v>0</v>
      </c>
      <c r="DQ75" s="33">
        <f>IF(DQ23-DQ71&gt;0,(DQ23-DQ71)*DQ35*условия!$Q$112/1000,0)</f>
        <v>0</v>
      </c>
      <c r="DR75" s="33">
        <f>IF(DR23-DR71&gt;0,(DR23-DR71)*DR35*условия!$Q$112/1000,0)</f>
        <v>0</v>
      </c>
      <c r="DS75" s="33">
        <f>IF(DS23-DS71&gt;0,(DS23-DS71)*DS35*условия!$Q$112/1000,0)</f>
        <v>0</v>
      </c>
      <c r="DT75" s="33">
        <f>IF(DT23-DT71&gt;0,(DT23-DT71)*DT35*условия!$Q$112/1000,0)</f>
        <v>0</v>
      </c>
      <c r="DU75" s="33">
        <f>IF(DU23-DU71&gt;0,(DU23-DU71)*DU35*условия!$Q$112/1000,0)</f>
        <v>0</v>
      </c>
      <c r="DV75" s="33">
        <f>IF(DV23-DV71&gt;0,(DV23-DV71)*DV35*условия!$Q$112/1000,0)</f>
        <v>0</v>
      </c>
      <c r="DW75" s="33">
        <f>IF(DW23-DW71&gt;0,(DW23-DW71)*DW35*условия!$Q$112/1000,0)</f>
        <v>0</v>
      </c>
      <c r="DX75" s="33">
        <f>IF(DX23-DX71&gt;0,(DX23-DX71)*DX35*условия!$Q$112/1000,0)</f>
        <v>0</v>
      </c>
      <c r="DY75" s="33">
        <f>IF(DY23-DY71&gt;0,(DY23-DY71)*DY35*условия!$Q$112/1000,0)</f>
        <v>0</v>
      </c>
      <c r="DZ75" s="33">
        <f>IF(DZ23-DZ71&gt;0,(DZ23-DZ71)*DZ35*условия!$Q$112/1000,0)</f>
        <v>0</v>
      </c>
      <c r="EA75" s="33">
        <f>IF(EA23-EA71&gt;0,(EA23-EA71)*EA35*условия!$Q$112/1000,0)</f>
        <v>0</v>
      </c>
      <c r="EB75" s="33">
        <f>IF(EB23-EB71&gt;0,(EB23-EB71)*EB35*условия!$Q$112/1000,0)</f>
        <v>0</v>
      </c>
      <c r="EC75" s="33">
        <f>IF(EC23-EC71&gt;0,(EC23-EC71)*EC35*условия!$Q$112/1000,0)</f>
        <v>0</v>
      </c>
      <c r="ED75" s="33">
        <f>IF(ED23-ED71&gt;0,(ED23-ED71)*ED35*условия!$Q$112/1000,0)</f>
        <v>0</v>
      </c>
      <c r="EE75" s="33">
        <f>IF(EE23-EE71&gt;0,(EE23-EE71)*EE35*условия!$Q$112/1000,0)</f>
        <v>0</v>
      </c>
      <c r="EF75" s="33">
        <f>IF(EF23-EF71&gt;0,(EF23-EF71)*EF35*условия!$Q$112/1000,0)</f>
        <v>0</v>
      </c>
      <c r="EG75" s="33">
        <f>IF(EG23-EG71&gt;0,(EG23-EG71)*EG35*условия!$Q$112/1000,0)</f>
        <v>0</v>
      </c>
      <c r="EH75" s="33">
        <f>IF(EH23-EH71&gt;0,(EH23-EH71)*EH35*условия!$Q$112/1000,0)</f>
        <v>0</v>
      </c>
      <c r="EI75" s="33">
        <f>IF(EI23-EI71&gt;0,(EI23-EI71)*EI35*условия!$Q$112/1000,0)</f>
        <v>0</v>
      </c>
      <c r="EJ75" s="3"/>
      <c r="EK75" s="3"/>
    </row>
    <row r="76" spans="1:14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</row>
    <row r="77" spans="1:141" x14ac:dyDescent="0.25">
      <c r="A77" s="3"/>
      <c r="B77" s="3"/>
      <c r="C77" s="3"/>
      <c r="D77" s="3"/>
      <c r="E77" s="3"/>
      <c r="F77" s="10" t="str">
        <f>KPI!$F$68</f>
        <v>постоянные расходы на ТО производства</v>
      </c>
      <c r="G77" s="3"/>
      <c r="H77" s="3"/>
      <c r="I77" s="3"/>
      <c r="J77" s="5" t="str">
        <f>IF($F77="","",INDEX(KPI!$I$11:$I$275,SUMIFS(KPI!$E$11:$E$275,KPI!$F$11:$F$275,$F77)))</f>
        <v>тыс.руб.</v>
      </c>
      <c r="K77" s="3"/>
      <c r="L77" s="3"/>
      <c r="M77" s="3"/>
      <c r="N77" s="3"/>
      <c r="O77" s="3"/>
      <c r="P77" s="3"/>
      <c r="Q77" s="12">
        <f>SUM(S77:EJ77)</f>
        <v>28578.144861929388</v>
      </c>
      <c r="R77" s="3"/>
      <c r="S77" s="55"/>
      <c r="T77" s="33">
        <f>S77+(T15+T63)*условия!$Q$114</f>
        <v>0</v>
      </c>
      <c r="U77" s="33">
        <f>T77+(U15+U63)*условия!$Q$114</f>
        <v>0</v>
      </c>
      <c r="V77" s="33">
        <f>U77+(V15+V63)*условия!$Q$114</f>
        <v>70</v>
      </c>
      <c r="W77" s="33">
        <f>V77+(W15+W63)*условия!$Q$114</f>
        <v>70</v>
      </c>
      <c r="X77" s="33">
        <f>W77+(X15+X63)*условия!$Q$114</f>
        <v>140</v>
      </c>
      <c r="Y77" s="33">
        <f>X77+(Y15+Y63)*условия!$Q$114</f>
        <v>140</v>
      </c>
      <c r="Z77" s="33">
        <f>Y77+(Z15+Z63)*условия!$Q$114</f>
        <v>140</v>
      </c>
      <c r="AA77" s="33">
        <f>Z77+(AA15+AA63)*условия!$Q$114</f>
        <v>140</v>
      </c>
      <c r="AB77" s="33">
        <f>AA77+(AB15+AB63)*условия!$Q$114</f>
        <v>140</v>
      </c>
      <c r="AC77" s="33">
        <f>AB77+(AC15+AC63)*условия!$Q$114</f>
        <v>140</v>
      </c>
      <c r="AD77" s="33">
        <f>AC77+(AD15+AD63)*условия!$Q$114</f>
        <v>140</v>
      </c>
      <c r="AE77" s="33">
        <f>AD77+(AE15+AE63)*условия!$Q$114</f>
        <v>140</v>
      </c>
      <c r="AF77" s="33">
        <f>AE77+(AF15+AF63)*условия!$Q$114</f>
        <v>140</v>
      </c>
      <c r="AG77" s="33">
        <f>AF77+(AG15+AG63)*условия!$Q$114</f>
        <v>140</v>
      </c>
      <c r="AH77" s="33">
        <f>AG77+(AH15+AH63)*условия!$Q$114</f>
        <v>140</v>
      </c>
      <c r="AI77" s="33">
        <f>AH77+(AI15+AI63)*условия!$Q$114</f>
        <v>140</v>
      </c>
      <c r="AJ77" s="33">
        <f>AI77+(AJ15+AJ63)*условия!$Q$114</f>
        <v>140</v>
      </c>
      <c r="AK77" s="33">
        <f>AJ77+(AK15+AK63)*условия!$Q$114</f>
        <v>140</v>
      </c>
      <c r="AL77" s="33">
        <f>AK77+(AL15+AL63)*условия!$Q$114</f>
        <v>140</v>
      </c>
      <c r="AM77" s="33">
        <f>AL77+(AM15+AM63)*условия!$Q$114</f>
        <v>140</v>
      </c>
      <c r="AN77" s="33">
        <f>AM77+(AN15+AN63)*условия!$Q$114</f>
        <v>140</v>
      </c>
      <c r="AO77" s="33">
        <f>AN77+(AO15+AO63)*условия!$Q$114</f>
        <v>140</v>
      </c>
      <c r="AP77" s="33">
        <f>AO77+(AP15+AP63)*условия!$Q$114</f>
        <v>140</v>
      </c>
      <c r="AQ77" s="33">
        <f>AP77+(AQ15+AQ63)*условия!$Q$114</f>
        <v>140</v>
      </c>
      <c r="AR77" s="33">
        <f>AQ77+(AR15+AR63)*условия!$Q$114</f>
        <v>140</v>
      </c>
      <c r="AS77" s="33">
        <f>AR77+(AS15+AS63)*условия!$Q$114</f>
        <v>140</v>
      </c>
      <c r="AT77" s="33">
        <f>AS77+(AT15+AT63)*условия!$Q$114</f>
        <v>140</v>
      </c>
      <c r="AU77" s="33">
        <f>AT77+(AU15+AU63)*условия!$Q$114</f>
        <v>140</v>
      </c>
      <c r="AV77" s="33">
        <f>AU77+(AV15+AV63)*условия!$Q$114</f>
        <v>140</v>
      </c>
      <c r="AW77" s="33">
        <f>AV77+(AW15+AW63)*условия!$Q$114</f>
        <v>140</v>
      </c>
      <c r="AX77" s="33">
        <f>AW77+(AX15+AX63)*условия!$Q$114</f>
        <v>140</v>
      </c>
      <c r="AY77" s="33">
        <f>AX77+(AY15+AY63)*условия!$Q$114</f>
        <v>140</v>
      </c>
      <c r="AZ77" s="33">
        <f>AY77+(AZ15+AZ63)*условия!$Q$114</f>
        <v>140</v>
      </c>
      <c r="BA77" s="33">
        <f>AZ77+(BA15+BA63)*условия!$Q$114</f>
        <v>140</v>
      </c>
      <c r="BB77" s="33">
        <f>BA77+(BB15+BB63)*условия!$Q$114</f>
        <v>140</v>
      </c>
      <c r="BC77" s="33">
        <f>BB77+(BC15+BC63)*условия!$Q$114</f>
        <v>140</v>
      </c>
      <c r="BD77" s="33">
        <f>BC77+(BD15+BD63)*условия!$Q$114</f>
        <v>140</v>
      </c>
      <c r="BE77" s="33">
        <f>BD77+(BE15+BE63)*условия!$Q$114</f>
        <v>140</v>
      </c>
      <c r="BF77" s="33">
        <f>BE77+(BF15+BF63)*условия!$Q$114</f>
        <v>140</v>
      </c>
      <c r="BG77" s="33">
        <f>BF77+(BG15+BG63)*условия!$Q$114</f>
        <v>140</v>
      </c>
      <c r="BH77" s="33">
        <f>BG77+(BH15+BH63)*условия!$Q$114</f>
        <v>140</v>
      </c>
      <c r="BI77" s="33">
        <f>BH77+(BI15+BI63)*условия!$Q$114</f>
        <v>140</v>
      </c>
      <c r="BJ77" s="33">
        <f>BI77+(BJ15+BJ63)*условия!$Q$114</f>
        <v>140</v>
      </c>
      <c r="BK77" s="33">
        <f>BJ77+(BK15+BK63)*условия!$Q$114</f>
        <v>140</v>
      </c>
      <c r="BL77" s="33">
        <f>BK77+(BL15+BL63)*условия!$Q$114</f>
        <v>140</v>
      </c>
      <c r="BM77" s="33">
        <f>BL77+(BM15+BM63)*условия!$Q$114</f>
        <v>140</v>
      </c>
      <c r="BN77" s="33">
        <f>BM77+(BN15+BN63)*условия!$Q$114</f>
        <v>140</v>
      </c>
      <c r="BO77" s="33">
        <f>BN77+(BO15+BO63)*условия!$Q$114</f>
        <v>140</v>
      </c>
      <c r="BP77" s="33">
        <f>BO77+(BP15+BP63)*условия!$Q$114</f>
        <v>140</v>
      </c>
      <c r="BQ77" s="33">
        <f>BP77+(BQ15+BQ63)*условия!$Q$114</f>
        <v>140</v>
      </c>
      <c r="BR77" s="33">
        <f>BQ77+(BR15+BR63)*условия!$Q$114</f>
        <v>140</v>
      </c>
      <c r="BS77" s="33">
        <f>BR77+(BS15+BS63)*условия!$Q$114</f>
        <v>140</v>
      </c>
      <c r="BT77" s="33">
        <f>BS77+(BT15+BT63)*условия!$Q$114</f>
        <v>140</v>
      </c>
      <c r="BU77" s="33">
        <f>BT77+(BU15+BU63)*условия!$Q$114</f>
        <v>140</v>
      </c>
      <c r="BV77" s="33">
        <f>BU77+(BV15+BV63)*условия!$Q$114</f>
        <v>140</v>
      </c>
      <c r="BW77" s="33">
        <f>BV77+(BW15+BW63)*условия!$Q$114</f>
        <v>203.62873342</v>
      </c>
      <c r="BX77" s="33">
        <f>BW77+(BX15+BX63)*условия!$Q$114</f>
        <v>203.62873342</v>
      </c>
      <c r="BY77" s="33">
        <f>BX77+(BY15+BY63)*условия!$Q$114</f>
        <v>267.25746684000001</v>
      </c>
      <c r="BZ77" s="33">
        <f>BY77+(BZ15+BZ63)*условия!$Q$114</f>
        <v>267.25746684000001</v>
      </c>
      <c r="CA77" s="33">
        <f>BZ77+(CA15+CA63)*условия!$Q$114</f>
        <v>267.25746684000001</v>
      </c>
      <c r="CB77" s="33">
        <f>CA77+(CB15+CB63)*условия!$Q$114</f>
        <v>267.25746684000001</v>
      </c>
      <c r="CC77" s="33">
        <f>CB77+(CC15+CC63)*условия!$Q$114</f>
        <v>267.25746684000001</v>
      </c>
      <c r="CD77" s="33">
        <f>CC77+(CD15+CD63)*условия!$Q$114</f>
        <v>267.25746684000001</v>
      </c>
      <c r="CE77" s="33">
        <f>CD77+(CE15+CE63)*условия!$Q$114</f>
        <v>267.25746684000001</v>
      </c>
      <c r="CF77" s="33">
        <f>CE77+(CF15+CF63)*условия!$Q$114</f>
        <v>267.25746684000001</v>
      </c>
      <c r="CG77" s="33">
        <f>CF77+(CG15+CG63)*условия!$Q$114</f>
        <v>267.25746684000001</v>
      </c>
      <c r="CH77" s="33">
        <f>CG77+(CH15+CH63)*условия!$Q$114</f>
        <v>267.25746684000001</v>
      </c>
      <c r="CI77" s="33">
        <f>CH77+(CI15+CI63)*условия!$Q$114</f>
        <v>267.25746684000001</v>
      </c>
      <c r="CJ77" s="33">
        <f>CI77+(CJ15+CJ63)*условия!$Q$114</f>
        <v>267.25746684000001</v>
      </c>
      <c r="CK77" s="33">
        <f>CJ77+(CK15+CK63)*условия!$Q$114</f>
        <v>267.25746684000001</v>
      </c>
      <c r="CL77" s="33">
        <f>CK77+(CL15+CL63)*условия!$Q$114</f>
        <v>267.25746684000001</v>
      </c>
      <c r="CM77" s="33">
        <f>CL77+(CM15+CM63)*условия!$Q$114</f>
        <v>267.25746684000001</v>
      </c>
      <c r="CN77" s="33">
        <f>CM77+(CN15+CN63)*условия!$Q$114</f>
        <v>267.25746684000001</v>
      </c>
      <c r="CO77" s="33">
        <f>CN77+(CO15+CO63)*условия!$Q$114</f>
        <v>267.25746684000001</v>
      </c>
      <c r="CP77" s="33">
        <f>CO77+(CP15+CP63)*условия!$Q$114</f>
        <v>267.25746684000001</v>
      </c>
      <c r="CQ77" s="33">
        <f>CP77+(CQ15+CQ63)*условия!$Q$114</f>
        <v>267.25746684000001</v>
      </c>
      <c r="CR77" s="33">
        <f>CQ77+(CR15+CR63)*условия!$Q$114</f>
        <v>267.25746684000001</v>
      </c>
      <c r="CS77" s="33">
        <f>CR77+(CS15+CS63)*условия!$Q$114</f>
        <v>267.25746684000001</v>
      </c>
      <c r="CT77" s="33">
        <f>CS77+(CT15+CT63)*условия!$Q$114</f>
        <v>267.25746684000001</v>
      </c>
      <c r="CU77" s="33">
        <f>CT77+(CU15+CU63)*условия!$Q$114</f>
        <v>267.25746684000001</v>
      </c>
      <c r="CV77" s="33">
        <f>CU77+(CV15+CV63)*условия!$Q$114</f>
        <v>267.25746684000001</v>
      </c>
      <c r="CW77" s="33">
        <f>CV77+(CW15+CW63)*условия!$Q$114</f>
        <v>267.25746684000001</v>
      </c>
      <c r="CX77" s="33">
        <f>CW77+(CX15+CX63)*условия!$Q$114</f>
        <v>267.25746684000001</v>
      </c>
      <c r="CY77" s="33">
        <f>CX77+(CY15+CY63)*условия!$Q$114</f>
        <v>267.25746684000001</v>
      </c>
      <c r="CZ77" s="33">
        <f>CY77+(CZ15+CZ63)*условия!$Q$114</f>
        <v>267.25746684000001</v>
      </c>
      <c r="DA77" s="33">
        <f>CZ77+(DA15+DA63)*условия!$Q$114</f>
        <v>267.25746684000001</v>
      </c>
      <c r="DB77" s="33">
        <f>DA77+(DB15+DB63)*условия!$Q$114</f>
        <v>267.25746684000001</v>
      </c>
      <c r="DC77" s="33">
        <f>DB77+(DC15+DC63)*условия!$Q$114</f>
        <v>267.25746684000001</v>
      </c>
      <c r="DD77" s="33">
        <f>DC77+(DD15+DD63)*условия!$Q$114</f>
        <v>267.25746684000001</v>
      </c>
      <c r="DE77" s="33">
        <f>DD77+(DE15+DE63)*условия!$Q$114</f>
        <v>267.25746684000001</v>
      </c>
      <c r="DF77" s="33">
        <f>DE77+(DF15+DF63)*условия!$Q$114</f>
        <v>267.25746684000001</v>
      </c>
      <c r="DG77" s="33">
        <f>DF77+(DG15+DG63)*условия!$Q$114</f>
        <v>267.25746684000001</v>
      </c>
      <c r="DH77" s="33">
        <f>DG77+(DH15+DH63)*условия!$Q$114</f>
        <v>342.32537395424765</v>
      </c>
      <c r="DI77" s="33">
        <f>DH77+(DI15+DI63)*условия!$Q$114</f>
        <v>342.32537395424765</v>
      </c>
      <c r="DJ77" s="33">
        <f>DI77+(DJ15+DJ63)*условия!$Q$114</f>
        <v>417.3932810684953</v>
      </c>
      <c r="DK77" s="33">
        <f>DJ77+(DK15+DK63)*условия!$Q$114</f>
        <v>417.3932810684953</v>
      </c>
      <c r="DL77" s="33">
        <f>DK77+(DL15+DL63)*условия!$Q$114</f>
        <v>417.3932810684953</v>
      </c>
      <c r="DM77" s="33">
        <f>DL77+(DM15+DM63)*условия!$Q$114</f>
        <v>417.3932810684953</v>
      </c>
      <c r="DN77" s="33">
        <f>DM77+(DN15+DN63)*условия!$Q$114</f>
        <v>417.3932810684953</v>
      </c>
      <c r="DO77" s="33">
        <f>DN77+(DO15+DO63)*условия!$Q$114</f>
        <v>417.3932810684953</v>
      </c>
      <c r="DP77" s="33">
        <f>DO77+(DP15+DP63)*условия!$Q$114</f>
        <v>417.3932810684953</v>
      </c>
      <c r="DQ77" s="33">
        <f>DP77+(DQ15+DQ63)*условия!$Q$114</f>
        <v>417.3932810684953</v>
      </c>
      <c r="DR77" s="33">
        <f>DQ77+(DR15+DR63)*условия!$Q$114</f>
        <v>417.3932810684953</v>
      </c>
      <c r="DS77" s="33">
        <f>DR77+(DS15+DS63)*условия!$Q$114</f>
        <v>417.3932810684953</v>
      </c>
      <c r="DT77" s="33">
        <f>DS77+(DT15+DT63)*условия!$Q$114</f>
        <v>417.3932810684953</v>
      </c>
      <c r="DU77" s="33">
        <f>DT77+(DU15+DU63)*условия!$Q$114</f>
        <v>417.3932810684953</v>
      </c>
      <c r="DV77" s="33">
        <f>DU77+(DV15+DV63)*условия!$Q$114</f>
        <v>417.3932810684953</v>
      </c>
      <c r="DW77" s="33">
        <f>DV77+(DW15+DW63)*условия!$Q$114</f>
        <v>417.3932810684953</v>
      </c>
      <c r="DX77" s="33">
        <f>DW77+(DX15+DX63)*условия!$Q$114</f>
        <v>417.3932810684953</v>
      </c>
      <c r="DY77" s="33">
        <f>DX77+(DY15+DY63)*условия!$Q$114</f>
        <v>417.3932810684953</v>
      </c>
      <c r="DZ77" s="33">
        <f>DY77+(DZ15+DZ63)*условия!$Q$114</f>
        <v>417.3932810684953</v>
      </c>
      <c r="EA77" s="33">
        <f>DZ77+(EA15+EA63)*условия!$Q$114</f>
        <v>417.3932810684953</v>
      </c>
      <c r="EB77" s="33">
        <f>EA77+(EB15+EB63)*условия!$Q$114</f>
        <v>417.3932810684953</v>
      </c>
      <c r="EC77" s="33">
        <f>EB77+(EC15+EC63)*условия!$Q$114</f>
        <v>417.3932810684953</v>
      </c>
      <c r="ED77" s="33">
        <f>EC77+(ED15+ED63)*условия!$Q$114</f>
        <v>417.3932810684953</v>
      </c>
      <c r="EE77" s="33">
        <f>ED77+(EE15+EE63)*условия!$Q$114</f>
        <v>417.3932810684953</v>
      </c>
      <c r="EF77" s="33">
        <f>EE77+(EF15+EF63)*условия!$Q$114</f>
        <v>417.3932810684953</v>
      </c>
      <c r="EG77" s="33">
        <f>EF77+(EG15+EG63)*условия!$Q$114</f>
        <v>417.3932810684953</v>
      </c>
      <c r="EH77" s="33">
        <f>EG77+(EH15+EH63)*условия!$Q$114</f>
        <v>417.3932810684953</v>
      </c>
      <c r="EI77" s="33">
        <f>EH77+(EI15+EI63)*условия!$Q$114</f>
        <v>417.3932810684953</v>
      </c>
      <c r="EJ77" s="3"/>
      <c r="EK77" s="3"/>
    </row>
    <row r="78" spans="1:14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</row>
    <row r="79" spans="1:141" x14ac:dyDescent="0.25">
      <c r="A79" s="3"/>
      <c r="B79" s="3"/>
      <c r="C79" s="3"/>
      <c r="D79" s="3"/>
      <c r="E79" s="3"/>
      <c r="F79" s="10" t="str">
        <f>KPI!$F$70</f>
        <v>переменные расходы на ТО производства</v>
      </c>
      <c r="G79" s="3"/>
      <c r="H79" s="3"/>
      <c r="I79" s="3"/>
      <c r="J79" s="5" t="str">
        <f>IF($F79="","",INDEX(KPI!$I$11:$I$275,SUMIFS(KPI!$E$11:$E$275,KPI!$F$11:$F$275,$F79)))</f>
        <v>тыс.руб.</v>
      </c>
      <c r="K79" s="3"/>
      <c r="L79" s="3"/>
      <c r="M79" s="3"/>
      <c r="N79" s="3"/>
      <c r="O79" s="3"/>
      <c r="P79" s="3"/>
      <c r="Q79" s="12">
        <f>SUM(S79:EJ79)</f>
        <v>46743.245979262647</v>
      </c>
      <c r="R79" s="3"/>
      <c r="S79" s="55"/>
      <c r="T79" s="33">
        <f>T25*T35*условия!$Q$116/1000</f>
        <v>0</v>
      </c>
      <c r="U79" s="33">
        <f>U25*U35*условия!$Q$116/1000</f>
        <v>0</v>
      </c>
      <c r="V79" s="33">
        <f>V25*V35*условия!$Q$116/1000</f>
        <v>0</v>
      </c>
      <c r="W79" s="33">
        <f>W25*W35*условия!$Q$116/1000</f>
        <v>0</v>
      </c>
      <c r="X79" s="33">
        <f>X25*X35*условия!$Q$116/1000</f>
        <v>13.526709677419356</v>
      </c>
      <c r="Y79" s="33">
        <f>Y25*Y35*условия!$Q$116/1000</f>
        <v>0</v>
      </c>
      <c r="Z79" s="33">
        <f>Z25*Z35*условия!$Q$116/1000</f>
        <v>1.1187580645161284</v>
      </c>
      <c r="AA79" s="33">
        <f>AA25*AA35*условия!$Q$116/1000</f>
        <v>8.9022967741935499</v>
      </c>
      <c r="AB79" s="33">
        <f>AB25*AB35*условия!$Q$116/1000</f>
        <v>7.7661096774193537</v>
      </c>
      <c r="AC79" s="33">
        <f>AC25*AC35*условия!$Q$116/1000</f>
        <v>13.093974193548391</v>
      </c>
      <c r="AD79" s="33">
        <f>AD25*AD35*условия!$Q$116/1000</f>
        <v>14.313812903225806</v>
      </c>
      <c r="AE79" s="33">
        <f>AE25*AE35*условия!$Q$116/1000</f>
        <v>4.7961290322580687</v>
      </c>
      <c r="AF79" s="33">
        <f>AF25*AF35*условия!$Q$116/1000</f>
        <v>38.708804129032259</v>
      </c>
      <c r="AG79" s="33">
        <f>AG25*AG35*условия!$Q$116/1000</f>
        <v>11.508260129032257</v>
      </c>
      <c r="AH79" s="33">
        <f>AH25*AH35*условия!$Q$116/1000</f>
        <v>36.584005161290328</v>
      </c>
      <c r="AI79" s="33">
        <f>AI25*AI35*условия!$Q$116/1000</f>
        <v>14.807177496774189</v>
      </c>
      <c r="AJ79" s="33">
        <f>AJ25*AJ35*условия!$Q$116/1000</f>
        <v>14.994531096774201</v>
      </c>
      <c r="AK79" s="33">
        <f>AK25*AK35*условия!$Q$116/1000</f>
        <v>14.040343122580637</v>
      </c>
      <c r="AL79" s="33">
        <f>AL25*AL35*условия!$Q$116/1000</f>
        <v>15.949412748387102</v>
      </c>
      <c r="AM79" s="33">
        <f>AM25*AM35*условия!$Q$116/1000</f>
        <v>24.388692232258062</v>
      </c>
      <c r="AN79" s="33">
        <f>AN25*AN35*условия!$Q$116/1000</f>
        <v>42.951898838709674</v>
      </c>
      <c r="AO79" s="33">
        <f>AO25*AO35*условия!$Q$116/1000</f>
        <v>40.888806812903226</v>
      </c>
      <c r="AP79" s="33">
        <f>AP25*AP35*условия!$Q$116/1000</f>
        <v>69.886543277419349</v>
      </c>
      <c r="AQ79" s="33">
        <f>AQ25*AQ35*условия!$Q$116/1000</f>
        <v>6.8708748387096801</v>
      </c>
      <c r="AR79" s="33">
        <f>AR25*AR35*условия!$Q$116/1000</f>
        <v>107.66163158709676</v>
      </c>
      <c r="AS79" s="33">
        <f>AS25*AS35*условия!$Q$116/1000</f>
        <v>37.855586683870982</v>
      </c>
      <c r="AT79" s="33">
        <f>AT25*AT35*условия!$Q$116/1000</f>
        <v>101.13124541935481</v>
      </c>
      <c r="AU79" s="33">
        <f>AU25*AU35*условия!$Q$116/1000</f>
        <v>47.380120443871007</v>
      </c>
      <c r="AV79" s="33">
        <f>AV25*AV35*условия!$Q$116/1000</f>
        <v>38.809760206451585</v>
      </c>
      <c r="AW79" s="33">
        <f>AW25*AW35*условия!$Q$116/1000</f>
        <v>45.176228665806477</v>
      </c>
      <c r="AX79" s="33">
        <f>AX25*AX35*условия!$Q$116/1000</f>
        <v>41.531804159999979</v>
      </c>
      <c r="AY79" s="33">
        <f>AY25*AY35*условия!$Q$116/1000</f>
        <v>75.029451478709689</v>
      </c>
      <c r="AZ79" s="33">
        <f>AZ25*AZ35*условия!$Q$116/1000</f>
        <v>119.17275053419351</v>
      </c>
      <c r="BA79" s="33">
        <f>BA25*BA35*условия!$Q$116/1000</f>
        <v>122.17105787870972</v>
      </c>
      <c r="BB79" s="33">
        <f>BB25*BB35*условия!$Q$116/1000</f>
        <v>195.21593525677412</v>
      </c>
      <c r="BC79" s="33">
        <f>BC25*BC35*условия!$Q$116/1000</f>
        <v>24.512189935483935</v>
      </c>
      <c r="BD79" s="33">
        <f>BD25*BD35*условия!$Q$116/1000</f>
        <v>178.77008966193549</v>
      </c>
      <c r="BE79" s="33">
        <f>BE25*BE35*условия!$Q$116/1000</f>
        <v>112.06548047483886</v>
      </c>
      <c r="BF79" s="33">
        <f>BF25*BF35*условия!$Q$116/1000</f>
        <v>183.8616347977752</v>
      </c>
      <c r="BG79" s="33">
        <f>BG25*BG35*условия!$Q$116/1000</f>
        <v>122.37070151304135</v>
      </c>
      <c r="BH79" s="33">
        <f>BH25*BH35*условия!$Q$116/1000</f>
        <v>55.44416451630687</v>
      </c>
      <c r="BI79" s="33">
        <f>BI25*BI35*условия!$Q$116/1000</f>
        <v>117.72870034466763</v>
      </c>
      <c r="BJ79" s="33">
        <f>BJ25*BJ35*условия!$Q$116/1000</f>
        <v>60.986024388413632</v>
      </c>
      <c r="BK79" s="33">
        <f>BK25*BK35*условия!$Q$116/1000</f>
        <v>179.54215833656977</v>
      </c>
      <c r="BL79" s="33">
        <f>BL25*BL35*условия!$Q$116/1000</f>
        <v>220.75869737475404</v>
      </c>
      <c r="BM79" s="33">
        <f>BM25*BM35*условия!$Q$116/1000</f>
        <v>277.49527935743743</v>
      </c>
      <c r="BN79" s="33">
        <f>BN25*BN35*условия!$Q$116/1000</f>
        <v>376.63302210391976</v>
      </c>
      <c r="BO79" s="33">
        <f>BO25*BO35*условия!$Q$116/1000</f>
        <v>77.086845173748884</v>
      </c>
      <c r="BP79" s="33">
        <f>BP25*BP35*условия!$Q$116/1000</f>
        <v>254.25362245709428</v>
      </c>
      <c r="BQ79" s="33">
        <f>BQ25*BQ35*условия!$Q$116/1000</f>
        <v>329.51484107974244</v>
      </c>
      <c r="BR79" s="33">
        <f>BR25*BR35*условия!$Q$116/1000</f>
        <v>242.37159812271369</v>
      </c>
      <c r="BS79" s="33">
        <f>BS25*BS35*условия!$Q$116/1000</f>
        <v>370.01732889582962</v>
      </c>
      <c r="BT79" s="33">
        <f>BT25*BT35*условия!$Q$116/1000</f>
        <v>15.055064952453396</v>
      </c>
      <c r="BU79" s="33">
        <f>BU25*BU35*условия!$Q$116/1000</f>
        <v>343.04930875332815</v>
      </c>
      <c r="BV79" s="33">
        <f>BV25*BV35*условия!$Q$116/1000</f>
        <v>17.904283307254712</v>
      </c>
      <c r="BW79" s="33">
        <f>BW25*BW35*условия!$Q$116/1000</f>
        <v>454.33310177177538</v>
      </c>
      <c r="BX79" s="33">
        <f>BX25*BX35*условия!$Q$116/1000</f>
        <v>309.68537479842269</v>
      </c>
      <c r="BY79" s="33">
        <f>BY25*BY35*условия!$Q$116/1000</f>
        <v>661.53802966014916</v>
      </c>
      <c r="BZ79" s="33">
        <f>BZ25*BZ35*условия!$Q$116/1000</f>
        <v>607.90401710398896</v>
      </c>
      <c r="CA79" s="33">
        <f>CA25*CA35*условия!$Q$116/1000</f>
        <v>340.09046636209183</v>
      </c>
      <c r="CB79" s="33">
        <f>CB25*CB35*условия!$Q$116/1000</f>
        <v>142.72913679192519</v>
      </c>
      <c r="CC79" s="33">
        <f>CC25*CC35*условия!$Q$116/1000</f>
        <v>674.77992353797765</v>
      </c>
      <c r="CD79" s="33">
        <f>CD25*CD35*условия!$Q$116/1000</f>
        <v>122.57497658751792</v>
      </c>
      <c r="CE79" s="33">
        <f>CE25*CE35*условия!$Q$116/1000</f>
        <v>731.90058015364787</v>
      </c>
      <c r="CF79" s="33">
        <f>CF25*CF35*условия!$Q$116/1000</f>
        <v>0</v>
      </c>
      <c r="CG79" s="33">
        <f>CG25*CG35*условия!$Q$116/1000</f>
        <v>306.91401807969896</v>
      </c>
      <c r="CH79" s="33">
        <f>CH25*CH35*условия!$Q$116/1000</f>
        <v>198.18930131278952</v>
      </c>
      <c r="CI79" s="33">
        <f>CI25*CI35*условия!$Q$116/1000</f>
        <v>459.85932927014221</v>
      </c>
      <c r="CJ79" s="33">
        <f>CJ25*CJ35*условия!$Q$116/1000</f>
        <v>606.38584946458434</v>
      </c>
      <c r="CK79" s="33">
        <f>CK25*CK35*условия!$Q$116/1000</f>
        <v>739.68133138000485</v>
      </c>
      <c r="CL79" s="33">
        <f>CL25*CL35*условия!$Q$116/1000</f>
        <v>1020.9216117912864</v>
      </c>
      <c r="CM79" s="33">
        <f>CM25*CM35*условия!$Q$116/1000</f>
        <v>284.63727741590878</v>
      </c>
      <c r="CN79" s="33">
        <f>CN25*CN35*условия!$Q$116/1000</f>
        <v>346.70858799268444</v>
      </c>
      <c r="CO79" s="33">
        <f>CO25*CO35*условия!$Q$116/1000</f>
        <v>741.87755519877271</v>
      </c>
      <c r="CP79" s="33">
        <f>CP25*CP35*условия!$Q$116/1000</f>
        <v>321.24028498785333</v>
      </c>
      <c r="CQ79" s="33">
        <f>CQ25*CQ35*условия!$Q$116/1000</f>
        <v>816.54513324608445</v>
      </c>
      <c r="CR79" s="33">
        <f>CR25*CR35*условия!$Q$116/1000</f>
        <v>0</v>
      </c>
      <c r="CS79" s="33">
        <f>CS25*CS35*условия!$Q$116/1000</f>
        <v>566.08307411614487</v>
      </c>
      <c r="CT79" s="33">
        <f>CT25*CT35*условия!$Q$116/1000</f>
        <v>105.91658998561982</v>
      </c>
      <c r="CU79" s="33">
        <f>CU25*CU35*условия!$Q$116/1000</f>
        <v>770.26424125928463</v>
      </c>
      <c r="CV79" s="33">
        <f>CV25*CV35*условия!$Q$116/1000</f>
        <v>646.48087488711076</v>
      </c>
      <c r="CW79" s="33">
        <f>CW25*CW35*условия!$Q$116/1000</f>
        <v>1143.0533625297776</v>
      </c>
      <c r="CX79" s="33">
        <f>CX25*CX35*условия!$Q$116/1000</f>
        <v>1188.1529912219407</v>
      </c>
      <c r="CY79" s="33">
        <f>CY25*CY35*условия!$Q$116/1000</f>
        <v>542.49325547308194</v>
      </c>
      <c r="CZ79" s="33">
        <f>CZ25*CZ35*условия!$Q$116/1000</f>
        <v>0</v>
      </c>
      <c r="DA79" s="33">
        <f>DA25*DA35*условия!$Q$116/1000</f>
        <v>1207.460949931914</v>
      </c>
      <c r="DB79" s="33">
        <f>DB25*DB35*условия!$Q$116/1000</f>
        <v>72.020151797612996</v>
      </c>
      <c r="DC79" s="33">
        <f>DC25*DC35*условия!$Q$116/1000</f>
        <v>1267.0931499659625</v>
      </c>
      <c r="DD79" s="33">
        <f>DD25*DD35*условия!$Q$116/1000</f>
        <v>0</v>
      </c>
      <c r="DE79" s="33">
        <f>DE25*DE35*условия!$Q$116/1000</f>
        <v>452.45730965884701</v>
      </c>
      <c r="DF79" s="33">
        <f>DF25*DF35*условия!$Q$116/1000</f>
        <v>348.46020889639715</v>
      </c>
      <c r="DG79" s="33">
        <f>DG25*DG35*условия!$Q$116/1000</f>
        <v>660.56410213127469</v>
      </c>
      <c r="DH79" s="33">
        <f>DH25*DH35*условия!$Q$116/1000</f>
        <v>926.4006354288291</v>
      </c>
      <c r="DI79" s="33">
        <f>DI25*DI35*условия!$Q$116/1000</f>
        <v>1106.0879919802803</v>
      </c>
      <c r="DJ79" s="33">
        <f>DJ25*DJ35*условия!$Q$116/1000</f>
        <v>1536.6643802095232</v>
      </c>
      <c r="DK79" s="33">
        <f>DK25*DK35*условия!$Q$116/1000</f>
        <v>555.01409870441876</v>
      </c>
      <c r="DL79" s="33">
        <f>DL25*DL35*условия!$Q$116/1000</f>
        <v>378.1298186724776</v>
      </c>
      <c r="DM79" s="33">
        <f>DM25*DM35*условия!$Q$116/1000</f>
        <v>1020.4492850467177</v>
      </c>
      <c r="DN79" s="33">
        <f>DN25*DN35*условия!$Q$116/1000</f>
        <v>386.32992351306308</v>
      </c>
      <c r="DO79" s="33">
        <f>DO25*DO35*условия!$Q$116/1000</f>
        <v>1117.2335297051945</v>
      </c>
      <c r="DP79" s="33">
        <f>DP25*DP35*условия!$Q$116/1000</f>
        <v>0</v>
      </c>
      <c r="DQ79" s="33">
        <f>DQ25*DQ35*условия!$Q$116/1000</f>
        <v>812.76677755937556</v>
      </c>
      <c r="DR79" s="33">
        <f>DR25*DR35*условия!$Q$116/1000</f>
        <v>85.861022469855584</v>
      </c>
      <c r="DS79" s="33">
        <f>DS25*DS35*условия!$Q$116/1000</f>
        <v>1046.9528543500373</v>
      </c>
      <c r="DT79" s="33">
        <f>DT25*DT35*условия!$Q$116/1000</f>
        <v>731.23397836514368</v>
      </c>
      <c r="DU79" s="33">
        <f>DU25*DU35*условия!$Q$116/1000</f>
        <v>1546.8352452102235</v>
      </c>
      <c r="DV79" s="33">
        <f>DV25*DV35*условия!$Q$116/1000</f>
        <v>1403.8494057239591</v>
      </c>
      <c r="DW79" s="33">
        <f>DW25*DW35*условия!$Q$116/1000</f>
        <v>933.02606464783469</v>
      </c>
      <c r="DX79" s="33">
        <f>DX25*DX35*условия!$Q$116/1000</f>
        <v>12.057355922985538</v>
      </c>
      <c r="DY79" s="33">
        <f>DY25*DY35*условия!$Q$116/1000</f>
        <v>1441.0603176901034</v>
      </c>
      <c r="DZ79" s="33">
        <f>DZ25*DZ35*условия!$Q$116/1000</f>
        <v>18.274139192664684</v>
      </c>
      <c r="EA79" s="33">
        <f>EA25*EA35*условия!$Q$116/1000</f>
        <v>1541.5617074933709</v>
      </c>
      <c r="EB79" s="33">
        <f>EB25*EB35*условия!$Q$116/1000</f>
        <v>0</v>
      </c>
      <c r="EC79" s="33">
        <f>EC25*EC35*условия!$Q$116/1000</f>
        <v>462.04965778198277</v>
      </c>
      <c r="ED79" s="33">
        <f>ED25*ED35*условия!$Q$116/1000</f>
        <v>471.37862447677651</v>
      </c>
      <c r="EE79" s="33">
        <f>EE25*EE35*условия!$Q$116/1000</f>
        <v>702.9598404986308</v>
      </c>
      <c r="EF79" s="33">
        <f>EF25*EF35*условия!$Q$116/1000</f>
        <v>1141.6319384188134</v>
      </c>
      <c r="EG79" s="33">
        <f>EG25*EG35*условия!$Q$116/1000</f>
        <v>1213.3165329189148</v>
      </c>
      <c r="EH79" s="33">
        <f>EH25*EH35*условия!$Q$116/1000</f>
        <v>1837.5110851924919</v>
      </c>
      <c r="EI79" s="33">
        <f>EI25*EI35*условия!$Q$116/1000</f>
        <v>569.95987125811178</v>
      </c>
      <c r="EJ79" s="3"/>
      <c r="EK79" s="3"/>
    </row>
    <row r="80" spans="1:14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</row>
    <row r="81" spans="1:141" x14ac:dyDescent="0.25">
      <c r="A81" s="3"/>
      <c r="B81" s="3"/>
      <c r="C81" s="3"/>
      <c r="D81" s="3"/>
      <c r="E81" s="3"/>
      <c r="F81" s="10" t="str">
        <f>KPI!$F$72</f>
        <v>постоянные коммунальные расходы производства</v>
      </c>
      <c r="G81" s="3"/>
      <c r="H81" s="3"/>
      <c r="I81" s="3"/>
      <c r="J81" s="5" t="str">
        <f>IF($F81="","",INDEX(KPI!$I$11:$I$275,SUMIFS(KPI!$E$11:$E$275,KPI!$F$11:$F$275,$F81)))</f>
        <v>тыс.руб.</v>
      </c>
      <c r="K81" s="3"/>
      <c r="L81" s="3"/>
      <c r="M81" s="3"/>
      <c r="N81" s="3"/>
      <c r="O81" s="3"/>
      <c r="P81" s="3"/>
      <c r="Q81" s="12">
        <f>SUM(S81:EJ81)</f>
        <v>142890.72430964687</v>
      </c>
      <c r="R81" s="3"/>
      <c r="S81" s="55"/>
      <c r="T81" s="33">
        <f>S81+(T15+T63)*условия!$Q$118</f>
        <v>0</v>
      </c>
      <c r="U81" s="33">
        <f>T81+(U15+U63)*условия!$Q$118</f>
        <v>0</v>
      </c>
      <c r="V81" s="33">
        <f>U81+(V15+V63)*условия!$Q$118</f>
        <v>350</v>
      </c>
      <c r="W81" s="33">
        <f>V81+(W15+W63)*условия!$Q$118</f>
        <v>350</v>
      </c>
      <c r="X81" s="33">
        <f>W81+(X15+X63)*условия!$Q$118</f>
        <v>700</v>
      </c>
      <c r="Y81" s="33">
        <f>X81+(Y15+Y63)*условия!$Q$118</f>
        <v>700</v>
      </c>
      <c r="Z81" s="33">
        <f>Y81+(Z15+Z63)*условия!$Q$118</f>
        <v>700</v>
      </c>
      <c r="AA81" s="33">
        <f>Z81+(AA15+AA63)*условия!$Q$118</f>
        <v>700</v>
      </c>
      <c r="AB81" s="33">
        <f>AA81+(AB15+AB63)*условия!$Q$118</f>
        <v>700</v>
      </c>
      <c r="AC81" s="33">
        <f>AB81+(AC15+AC63)*условия!$Q$118</f>
        <v>700</v>
      </c>
      <c r="AD81" s="33">
        <f>AC81+(AD15+AD63)*условия!$Q$118</f>
        <v>700</v>
      </c>
      <c r="AE81" s="33">
        <f>AD81+(AE15+AE63)*условия!$Q$118</f>
        <v>700</v>
      </c>
      <c r="AF81" s="33">
        <f>AE81+(AF15+AF63)*условия!$Q$118</f>
        <v>700</v>
      </c>
      <c r="AG81" s="33">
        <f>AF81+(AG15+AG63)*условия!$Q$118</f>
        <v>700</v>
      </c>
      <c r="AH81" s="33">
        <f>AG81+(AH15+AH63)*условия!$Q$118</f>
        <v>700</v>
      </c>
      <c r="AI81" s="33">
        <f>AH81+(AI15+AI63)*условия!$Q$118</f>
        <v>700</v>
      </c>
      <c r="AJ81" s="33">
        <f>AI81+(AJ15+AJ63)*условия!$Q$118</f>
        <v>700</v>
      </c>
      <c r="AK81" s="33">
        <f>AJ81+(AK15+AK63)*условия!$Q$118</f>
        <v>700</v>
      </c>
      <c r="AL81" s="33">
        <f>AK81+(AL15+AL63)*условия!$Q$118</f>
        <v>700</v>
      </c>
      <c r="AM81" s="33">
        <f>AL81+(AM15+AM63)*условия!$Q$118</f>
        <v>700</v>
      </c>
      <c r="AN81" s="33">
        <f>AM81+(AN15+AN63)*условия!$Q$118</f>
        <v>700</v>
      </c>
      <c r="AO81" s="33">
        <f>AN81+(AO15+AO63)*условия!$Q$118</f>
        <v>700</v>
      </c>
      <c r="AP81" s="33">
        <f>AO81+(AP15+AP63)*условия!$Q$118</f>
        <v>700</v>
      </c>
      <c r="AQ81" s="33">
        <f>AP81+(AQ15+AQ63)*условия!$Q$118</f>
        <v>700</v>
      </c>
      <c r="AR81" s="33">
        <f>AQ81+(AR15+AR63)*условия!$Q$118</f>
        <v>700</v>
      </c>
      <c r="AS81" s="33">
        <f>AR81+(AS15+AS63)*условия!$Q$118</f>
        <v>700</v>
      </c>
      <c r="AT81" s="33">
        <f>AS81+(AT15+AT63)*условия!$Q$118</f>
        <v>700</v>
      </c>
      <c r="AU81" s="33">
        <f>AT81+(AU15+AU63)*условия!$Q$118</f>
        <v>700</v>
      </c>
      <c r="AV81" s="33">
        <f>AU81+(AV15+AV63)*условия!$Q$118</f>
        <v>700</v>
      </c>
      <c r="AW81" s="33">
        <f>AV81+(AW15+AW63)*условия!$Q$118</f>
        <v>700</v>
      </c>
      <c r="AX81" s="33">
        <f>AW81+(AX15+AX63)*условия!$Q$118</f>
        <v>700</v>
      </c>
      <c r="AY81" s="33">
        <f>AX81+(AY15+AY63)*условия!$Q$118</f>
        <v>700</v>
      </c>
      <c r="AZ81" s="33">
        <f>AY81+(AZ15+AZ63)*условия!$Q$118</f>
        <v>700</v>
      </c>
      <c r="BA81" s="33">
        <f>AZ81+(BA15+BA63)*условия!$Q$118</f>
        <v>700</v>
      </c>
      <c r="BB81" s="33">
        <f>BA81+(BB15+BB63)*условия!$Q$118</f>
        <v>700</v>
      </c>
      <c r="BC81" s="33">
        <f>BB81+(BC15+BC63)*условия!$Q$118</f>
        <v>700</v>
      </c>
      <c r="BD81" s="33">
        <f>BC81+(BD15+BD63)*условия!$Q$118</f>
        <v>700</v>
      </c>
      <c r="BE81" s="33">
        <f>BD81+(BE15+BE63)*условия!$Q$118</f>
        <v>700</v>
      </c>
      <c r="BF81" s="33">
        <f>BE81+(BF15+BF63)*условия!$Q$118</f>
        <v>700</v>
      </c>
      <c r="BG81" s="33">
        <f>BF81+(BG15+BG63)*условия!$Q$118</f>
        <v>700</v>
      </c>
      <c r="BH81" s="33">
        <f>BG81+(BH15+BH63)*условия!$Q$118</f>
        <v>700</v>
      </c>
      <c r="BI81" s="33">
        <f>BH81+(BI15+BI63)*условия!$Q$118</f>
        <v>700</v>
      </c>
      <c r="BJ81" s="33">
        <f>BI81+(BJ15+BJ63)*условия!$Q$118</f>
        <v>700</v>
      </c>
      <c r="BK81" s="33">
        <f>BJ81+(BK15+BK63)*условия!$Q$118</f>
        <v>700</v>
      </c>
      <c r="BL81" s="33">
        <f>BK81+(BL15+BL63)*условия!$Q$118</f>
        <v>700</v>
      </c>
      <c r="BM81" s="33">
        <f>BL81+(BM15+BM63)*условия!$Q$118</f>
        <v>700</v>
      </c>
      <c r="BN81" s="33">
        <f>BM81+(BN15+BN63)*условия!$Q$118</f>
        <v>700</v>
      </c>
      <c r="BO81" s="33">
        <f>BN81+(BO15+BO63)*условия!$Q$118</f>
        <v>700</v>
      </c>
      <c r="BP81" s="33">
        <f>BO81+(BP15+BP63)*условия!$Q$118</f>
        <v>700</v>
      </c>
      <c r="BQ81" s="33">
        <f>BP81+(BQ15+BQ63)*условия!$Q$118</f>
        <v>700</v>
      </c>
      <c r="BR81" s="33">
        <f>BQ81+(BR15+BR63)*условия!$Q$118</f>
        <v>700</v>
      </c>
      <c r="BS81" s="33">
        <f>BR81+(BS15+BS63)*условия!$Q$118</f>
        <v>700</v>
      </c>
      <c r="BT81" s="33">
        <f>BS81+(BT15+BT63)*условия!$Q$118</f>
        <v>700</v>
      </c>
      <c r="BU81" s="33">
        <f>BT81+(BU15+BU63)*условия!$Q$118</f>
        <v>700</v>
      </c>
      <c r="BV81" s="33">
        <f>BU81+(BV15+BV63)*условия!$Q$118</f>
        <v>700</v>
      </c>
      <c r="BW81" s="33">
        <f>BV81+(BW15+BW63)*условия!$Q$118</f>
        <v>1018.1436671000001</v>
      </c>
      <c r="BX81" s="33">
        <f>BW81+(BX15+BX63)*условия!$Q$118</f>
        <v>1018.1436671000001</v>
      </c>
      <c r="BY81" s="33">
        <f>BX81+(BY15+BY63)*условия!$Q$118</f>
        <v>1336.2873342000003</v>
      </c>
      <c r="BZ81" s="33">
        <f>BY81+(BZ15+BZ63)*условия!$Q$118</f>
        <v>1336.2873342000003</v>
      </c>
      <c r="CA81" s="33">
        <f>BZ81+(CA15+CA63)*условия!$Q$118</f>
        <v>1336.2873342000003</v>
      </c>
      <c r="CB81" s="33">
        <f>CA81+(CB15+CB63)*условия!$Q$118</f>
        <v>1336.2873342000003</v>
      </c>
      <c r="CC81" s="33">
        <f>CB81+(CC15+CC63)*условия!$Q$118</f>
        <v>1336.2873342000003</v>
      </c>
      <c r="CD81" s="33">
        <f>CC81+(CD15+CD63)*условия!$Q$118</f>
        <v>1336.2873342000003</v>
      </c>
      <c r="CE81" s="33">
        <f>CD81+(CE15+CE63)*условия!$Q$118</f>
        <v>1336.2873342000003</v>
      </c>
      <c r="CF81" s="33">
        <f>CE81+(CF15+CF63)*условия!$Q$118</f>
        <v>1336.2873342000003</v>
      </c>
      <c r="CG81" s="33">
        <f>CF81+(CG15+CG63)*условия!$Q$118</f>
        <v>1336.2873342000003</v>
      </c>
      <c r="CH81" s="33">
        <f>CG81+(CH15+CH63)*условия!$Q$118</f>
        <v>1336.2873342000003</v>
      </c>
      <c r="CI81" s="33">
        <f>CH81+(CI15+CI63)*условия!$Q$118</f>
        <v>1336.2873342000003</v>
      </c>
      <c r="CJ81" s="33">
        <f>CI81+(CJ15+CJ63)*условия!$Q$118</f>
        <v>1336.2873342000003</v>
      </c>
      <c r="CK81" s="33">
        <f>CJ81+(CK15+CK63)*условия!$Q$118</f>
        <v>1336.2873342000003</v>
      </c>
      <c r="CL81" s="33">
        <f>CK81+(CL15+CL63)*условия!$Q$118</f>
        <v>1336.2873342000003</v>
      </c>
      <c r="CM81" s="33">
        <f>CL81+(CM15+CM63)*условия!$Q$118</f>
        <v>1336.2873342000003</v>
      </c>
      <c r="CN81" s="33">
        <f>CM81+(CN15+CN63)*условия!$Q$118</f>
        <v>1336.2873342000003</v>
      </c>
      <c r="CO81" s="33">
        <f>CN81+(CO15+CO63)*условия!$Q$118</f>
        <v>1336.2873342000003</v>
      </c>
      <c r="CP81" s="33">
        <f>CO81+(CP15+CP63)*условия!$Q$118</f>
        <v>1336.2873342000003</v>
      </c>
      <c r="CQ81" s="33">
        <f>CP81+(CQ15+CQ63)*условия!$Q$118</f>
        <v>1336.2873342000003</v>
      </c>
      <c r="CR81" s="33">
        <f>CQ81+(CR15+CR63)*условия!$Q$118</f>
        <v>1336.2873342000003</v>
      </c>
      <c r="CS81" s="33">
        <f>CR81+(CS15+CS63)*условия!$Q$118</f>
        <v>1336.2873342000003</v>
      </c>
      <c r="CT81" s="33">
        <f>CS81+(CT15+CT63)*условия!$Q$118</f>
        <v>1336.2873342000003</v>
      </c>
      <c r="CU81" s="33">
        <f>CT81+(CU15+CU63)*условия!$Q$118</f>
        <v>1336.2873342000003</v>
      </c>
      <c r="CV81" s="33">
        <f>CU81+(CV15+CV63)*условия!$Q$118</f>
        <v>1336.2873342000003</v>
      </c>
      <c r="CW81" s="33">
        <f>CV81+(CW15+CW63)*условия!$Q$118</f>
        <v>1336.2873342000003</v>
      </c>
      <c r="CX81" s="33">
        <f>CW81+(CX15+CX63)*условия!$Q$118</f>
        <v>1336.2873342000003</v>
      </c>
      <c r="CY81" s="33">
        <f>CX81+(CY15+CY63)*условия!$Q$118</f>
        <v>1336.2873342000003</v>
      </c>
      <c r="CZ81" s="33">
        <f>CY81+(CZ15+CZ63)*условия!$Q$118</f>
        <v>1336.2873342000003</v>
      </c>
      <c r="DA81" s="33">
        <f>CZ81+(DA15+DA63)*условия!$Q$118</f>
        <v>1336.2873342000003</v>
      </c>
      <c r="DB81" s="33">
        <f>DA81+(DB15+DB63)*условия!$Q$118</f>
        <v>1336.2873342000003</v>
      </c>
      <c r="DC81" s="33">
        <f>DB81+(DC15+DC63)*условия!$Q$118</f>
        <v>1336.2873342000003</v>
      </c>
      <c r="DD81" s="33">
        <f>DC81+(DD15+DD63)*условия!$Q$118</f>
        <v>1336.2873342000003</v>
      </c>
      <c r="DE81" s="33">
        <f>DD81+(DE15+DE63)*условия!$Q$118</f>
        <v>1336.2873342000003</v>
      </c>
      <c r="DF81" s="33">
        <f>DE81+(DF15+DF63)*условия!$Q$118</f>
        <v>1336.2873342000003</v>
      </c>
      <c r="DG81" s="33">
        <f>DF81+(DG15+DG63)*условия!$Q$118</f>
        <v>1336.2873342000003</v>
      </c>
      <c r="DH81" s="33">
        <f>DG81+(DH15+DH63)*условия!$Q$118</f>
        <v>1711.6268697712385</v>
      </c>
      <c r="DI81" s="33">
        <f>DH81+(DI15+DI63)*условия!$Q$118</f>
        <v>1711.6268697712385</v>
      </c>
      <c r="DJ81" s="33">
        <f>DI81+(DJ15+DJ63)*условия!$Q$118</f>
        <v>2086.9664053424767</v>
      </c>
      <c r="DK81" s="33">
        <f>DJ81+(DK15+DK63)*условия!$Q$118</f>
        <v>2086.9664053424767</v>
      </c>
      <c r="DL81" s="33">
        <f>DK81+(DL15+DL63)*условия!$Q$118</f>
        <v>2086.9664053424767</v>
      </c>
      <c r="DM81" s="33">
        <f>DL81+(DM15+DM63)*условия!$Q$118</f>
        <v>2086.9664053424767</v>
      </c>
      <c r="DN81" s="33">
        <f>DM81+(DN15+DN63)*условия!$Q$118</f>
        <v>2086.9664053424767</v>
      </c>
      <c r="DO81" s="33">
        <f>DN81+(DO15+DO63)*условия!$Q$118</f>
        <v>2086.9664053424767</v>
      </c>
      <c r="DP81" s="33">
        <f>DO81+(DP15+DP63)*условия!$Q$118</f>
        <v>2086.9664053424767</v>
      </c>
      <c r="DQ81" s="33">
        <f>DP81+(DQ15+DQ63)*условия!$Q$118</f>
        <v>2086.9664053424767</v>
      </c>
      <c r="DR81" s="33">
        <f>DQ81+(DR15+DR63)*условия!$Q$118</f>
        <v>2086.9664053424767</v>
      </c>
      <c r="DS81" s="33">
        <f>DR81+(DS15+DS63)*условия!$Q$118</f>
        <v>2086.9664053424767</v>
      </c>
      <c r="DT81" s="33">
        <f>DS81+(DT15+DT63)*условия!$Q$118</f>
        <v>2086.9664053424767</v>
      </c>
      <c r="DU81" s="33">
        <f>DT81+(DU15+DU63)*условия!$Q$118</f>
        <v>2086.9664053424767</v>
      </c>
      <c r="DV81" s="33">
        <f>DU81+(DV15+DV63)*условия!$Q$118</f>
        <v>2086.9664053424767</v>
      </c>
      <c r="DW81" s="33">
        <f>DV81+(DW15+DW63)*условия!$Q$118</f>
        <v>2086.9664053424767</v>
      </c>
      <c r="DX81" s="33">
        <f>DW81+(DX15+DX63)*условия!$Q$118</f>
        <v>2086.9664053424767</v>
      </c>
      <c r="DY81" s="33">
        <f>DX81+(DY15+DY63)*условия!$Q$118</f>
        <v>2086.9664053424767</v>
      </c>
      <c r="DZ81" s="33">
        <f>DY81+(DZ15+DZ63)*условия!$Q$118</f>
        <v>2086.9664053424767</v>
      </c>
      <c r="EA81" s="33">
        <f>DZ81+(EA15+EA63)*условия!$Q$118</f>
        <v>2086.9664053424767</v>
      </c>
      <c r="EB81" s="33">
        <f>EA81+(EB15+EB63)*условия!$Q$118</f>
        <v>2086.9664053424767</v>
      </c>
      <c r="EC81" s="33">
        <f>EB81+(EC15+EC63)*условия!$Q$118</f>
        <v>2086.9664053424767</v>
      </c>
      <c r="ED81" s="33">
        <f>EC81+(ED15+ED63)*условия!$Q$118</f>
        <v>2086.9664053424767</v>
      </c>
      <c r="EE81" s="33">
        <f>ED81+(EE15+EE63)*условия!$Q$118</f>
        <v>2086.9664053424767</v>
      </c>
      <c r="EF81" s="33">
        <f>EE81+(EF15+EF63)*условия!$Q$118</f>
        <v>2086.9664053424767</v>
      </c>
      <c r="EG81" s="33">
        <f>EF81+(EG15+EG63)*условия!$Q$118</f>
        <v>2086.9664053424767</v>
      </c>
      <c r="EH81" s="33">
        <f>EG81+(EH15+EH63)*условия!$Q$118</f>
        <v>2086.9664053424767</v>
      </c>
      <c r="EI81" s="33">
        <f>EH81+(EI15+EI63)*условия!$Q$118</f>
        <v>2086.9664053424767</v>
      </c>
      <c r="EJ81" s="3"/>
      <c r="EK81" s="3"/>
    </row>
    <row r="82" spans="1:14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</row>
    <row r="83" spans="1:141" x14ac:dyDescent="0.25">
      <c r="A83" s="3"/>
      <c r="B83" s="3"/>
      <c r="C83" s="3"/>
      <c r="D83" s="3"/>
      <c r="E83" s="3"/>
      <c r="F83" s="10" t="str">
        <f>KPI!$F$74</f>
        <v>переменные коммунальные расходы производства</v>
      </c>
      <c r="G83" s="3"/>
      <c r="H83" s="3"/>
      <c r="I83" s="3"/>
      <c r="J83" s="5" t="str">
        <f>IF($F83="","",INDEX(KPI!$I$11:$I$275,SUMIFS(KPI!$E$11:$E$275,KPI!$F$11:$F$275,$F83)))</f>
        <v>тыс.руб.</v>
      </c>
      <c r="K83" s="3"/>
      <c r="L83" s="3"/>
      <c r="M83" s="3"/>
      <c r="N83" s="3"/>
      <c r="O83" s="3"/>
      <c r="P83" s="3"/>
      <c r="Q83" s="12">
        <f>SUM(S83:EJ83)</f>
        <v>373945.96783410117</v>
      </c>
      <c r="R83" s="3"/>
      <c r="S83" s="55"/>
      <c r="T83" s="33">
        <f>T25*T35*условия!$Q$120/1000</f>
        <v>0</v>
      </c>
      <c r="U83" s="33">
        <f>U25*U35*условия!$Q$120/1000</f>
        <v>0</v>
      </c>
      <c r="V83" s="33">
        <f>V25*V35*условия!$Q$120/1000</f>
        <v>0</v>
      </c>
      <c r="W83" s="33">
        <f>W25*W35*условия!$Q$120/1000</f>
        <v>0</v>
      </c>
      <c r="X83" s="33">
        <f>X25*X35*условия!$Q$120/1000</f>
        <v>108.21367741935485</v>
      </c>
      <c r="Y83" s="33">
        <f>Y25*Y35*условия!$Q$120/1000</f>
        <v>0</v>
      </c>
      <c r="Z83" s="33">
        <f>Z25*Z35*условия!$Q$120/1000</f>
        <v>8.9500645161290269</v>
      </c>
      <c r="AA83" s="33">
        <f>AA25*AA35*условия!$Q$120/1000</f>
        <v>71.218374193548399</v>
      </c>
      <c r="AB83" s="33">
        <f>AB25*AB35*условия!$Q$120/1000</f>
        <v>62.128877419354829</v>
      </c>
      <c r="AC83" s="33">
        <f>AC25*AC35*условия!$Q$120/1000</f>
        <v>104.75179354838713</v>
      </c>
      <c r="AD83" s="33">
        <f>AD25*AD35*условия!$Q$120/1000</f>
        <v>114.51050322580645</v>
      </c>
      <c r="AE83" s="33">
        <f>AE25*AE35*условия!$Q$120/1000</f>
        <v>38.36903225806455</v>
      </c>
      <c r="AF83" s="33">
        <f>AF25*AF35*условия!$Q$120/1000</f>
        <v>309.67043303225807</v>
      </c>
      <c r="AG83" s="33">
        <f>AG25*AG35*условия!$Q$120/1000</f>
        <v>92.066081032258055</v>
      </c>
      <c r="AH83" s="33">
        <f>AH25*AH35*условия!$Q$120/1000</f>
        <v>292.67204129032262</v>
      </c>
      <c r="AI83" s="33">
        <f>AI25*AI35*условия!$Q$120/1000</f>
        <v>118.45741997419351</v>
      </c>
      <c r="AJ83" s="33">
        <f>AJ25*AJ35*условия!$Q$120/1000</f>
        <v>119.95624877419361</v>
      </c>
      <c r="AK83" s="33">
        <f>AK25*AK35*условия!$Q$120/1000</f>
        <v>112.3227449806451</v>
      </c>
      <c r="AL83" s="33">
        <f>AL25*AL35*условия!$Q$120/1000</f>
        <v>127.59530198709682</v>
      </c>
      <c r="AM83" s="33">
        <f>AM25*AM35*условия!$Q$120/1000</f>
        <v>195.1095378580645</v>
      </c>
      <c r="AN83" s="33">
        <f>AN25*AN35*условия!$Q$120/1000</f>
        <v>343.61519070967739</v>
      </c>
      <c r="AO83" s="33">
        <f>AO25*AO35*условия!$Q$120/1000</f>
        <v>327.11045450322581</v>
      </c>
      <c r="AP83" s="33">
        <f>AP25*AP35*условия!$Q$120/1000</f>
        <v>559.09234621935479</v>
      </c>
      <c r="AQ83" s="33">
        <f>AQ25*AQ35*условия!$Q$120/1000</f>
        <v>54.966998709677441</v>
      </c>
      <c r="AR83" s="33">
        <f>AR25*AR35*условия!$Q$120/1000</f>
        <v>861.29305269677411</v>
      </c>
      <c r="AS83" s="33">
        <f>AS25*AS35*условия!$Q$120/1000</f>
        <v>302.84469347096785</v>
      </c>
      <c r="AT83" s="33">
        <f>AT25*AT35*условия!$Q$120/1000</f>
        <v>809.0499633548385</v>
      </c>
      <c r="AU83" s="33">
        <f>AU25*AU35*условия!$Q$120/1000</f>
        <v>379.04096355096806</v>
      </c>
      <c r="AV83" s="33">
        <f>AV25*AV35*условия!$Q$120/1000</f>
        <v>310.47808165161268</v>
      </c>
      <c r="AW83" s="33">
        <f>AW25*AW35*условия!$Q$120/1000</f>
        <v>361.40982932645181</v>
      </c>
      <c r="AX83" s="33">
        <f>AX25*AX35*условия!$Q$120/1000</f>
        <v>332.25443327999983</v>
      </c>
      <c r="AY83" s="33">
        <f>AY25*AY35*условия!$Q$120/1000</f>
        <v>600.23561182967751</v>
      </c>
      <c r="AZ83" s="33">
        <f>AZ25*AZ35*условия!$Q$120/1000</f>
        <v>953.38200427354809</v>
      </c>
      <c r="BA83" s="33">
        <f>BA25*BA35*условия!$Q$120/1000</f>
        <v>977.36846302967774</v>
      </c>
      <c r="BB83" s="33">
        <f>BB25*BB35*условия!$Q$120/1000</f>
        <v>1561.7274820541929</v>
      </c>
      <c r="BC83" s="33">
        <f>BC25*BC35*условия!$Q$120/1000</f>
        <v>196.09751948387148</v>
      </c>
      <c r="BD83" s="33">
        <f>BD25*BD35*условия!$Q$120/1000</f>
        <v>1430.1607172954839</v>
      </c>
      <c r="BE83" s="33">
        <f>BE25*BE35*условия!$Q$120/1000</f>
        <v>896.52384379871091</v>
      </c>
      <c r="BF83" s="33">
        <f>BF25*BF35*условия!$Q$120/1000</f>
        <v>1470.8930783822016</v>
      </c>
      <c r="BG83" s="33">
        <f>BG25*BG35*условия!$Q$120/1000</f>
        <v>978.96561210433083</v>
      </c>
      <c r="BH83" s="33">
        <f>BH25*BH35*условия!$Q$120/1000</f>
        <v>443.55331613045496</v>
      </c>
      <c r="BI83" s="33">
        <f>BI25*BI35*условия!$Q$120/1000</f>
        <v>941.82960275734104</v>
      </c>
      <c r="BJ83" s="33">
        <f>BJ25*BJ35*условия!$Q$120/1000</f>
        <v>487.88819510730906</v>
      </c>
      <c r="BK83" s="33">
        <f>BK25*BK35*условия!$Q$120/1000</f>
        <v>1436.3372666925582</v>
      </c>
      <c r="BL83" s="33">
        <f>BL25*BL35*условия!$Q$120/1000</f>
        <v>1766.0695789980323</v>
      </c>
      <c r="BM83" s="33">
        <f>BM25*BM35*условия!$Q$120/1000</f>
        <v>2219.9622348594994</v>
      </c>
      <c r="BN83" s="33">
        <f>BN25*BN35*условия!$Q$120/1000</f>
        <v>3013.0641768313581</v>
      </c>
      <c r="BO83" s="33">
        <f>BO25*BO35*условия!$Q$120/1000</f>
        <v>616.69476138999107</v>
      </c>
      <c r="BP83" s="33">
        <f>BP25*BP35*условия!$Q$120/1000</f>
        <v>2034.0289796567542</v>
      </c>
      <c r="BQ83" s="33">
        <f>BQ25*BQ35*условия!$Q$120/1000</f>
        <v>2636.1187286379395</v>
      </c>
      <c r="BR83" s="33">
        <f>BR25*BR35*условия!$Q$120/1000</f>
        <v>1938.9727849817095</v>
      </c>
      <c r="BS83" s="33">
        <f>BS25*BS35*условия!$Q$120/1000</f>
        <v>2960.138631166637</v>
      </c>
      <c r="BT83" s="33">
        <f>BT25*BT35*условия!$Q$120/1000</f>
        <v>120.44051961962717</v>
      </c>
      <c r="BU83" s="33">
        <f>BU25*BU35*условия!$Q$120/1000</f>
        <v>2744.3944700266252</v>
      </c>
      <c r="BV83" s="33">
        <f>BV25*BV35*условия!$Q$120/1000</f>
        <v>143.23426645803769</v>
      </c>
      <c r="BW83" s="33">
        <f>BW25*BW35*условия!$Q$120/1000</f>
        <v>3634.664814174203</v>
      </c>
      <c r="BX83" s="33">
        <f>BX25*BX35*условия!$Q$120/1000</f>
        <v>2477.4829983873815</v>
      </c>
      <c r="BY83" s="33">
        <f>BY25*BY35*условия!$Q$120/1000</f>
        <v>5292.3042372811933</v>
      </c>
      <c r="BZ83" s="33">
        <f>BZ25*BZ35*условия!$Q$120/1000</f>
        <v>4863.2321368319117</v>
      </c>
      <c r="CA83" s="33">
        <f>CA25*CA35*условия!$Q$120/1000</f>
        <v>2720.7237308967347</v>
      </c>
      <c r="CB83" s="33">
        <f>CB25*CB35*условия!$Q$120/1000</f>
        <v>1141.8330943354015</v>
      </c>
      <c r="CC83" s="33">
        <f>CC25*CC35*условия!$Q$120/1000</f>
        <v>5398.2393883038212</v>
      </c>
      <c r="CD83" s="33">
        <f>CD25*CD35*условия!$Q$120/1000</f>
        <v>980.59981270014339</v>
      </c>
      <c r="CE83" s="33">
        <f>CE25*CE35*условия!$Q$120/1000</f>
        <v>5855.2046412291829</v>
      </c>
      <c r="CF83" s="33">
        <f>CF25*CF35*условия!$Q$120/1000</f>
        <v>0</v>
      </c>
      <c r="CG83" s="33">
        <f>CG25*CG35*условия!$Q$120/1000</f>
        <v>2455.3121446375917</v>
      </c>
      <c r="CH83" s="33">
        <f>CH25*CH35*условия!$Q$120/1000</f>
        <v>1585.5144105023162</v>
      </c>
      <c r="CI83" s="33">
        <f>CI25*CI35*условия!$Q$120/1000</f>
        <v>3678.8746341611377</v>
      </c>
      <c r="CJ83" s="33">
        <f>CJ25*CJ35*условия!$Q$120/1000</f>
        <v>4851.0867957166747</v>
      </c>
      <c r="CK83" s="33">
        <f>CK25*CK35*условия!$Q$120/1000</f>
        <v>5917.4506510400388</v>
      </c>
      <c r="CL83" s="33">
        <f>CL25*CL35*условия!$Q$120/1000</f>
        <v>8167.3728943302913</v>
      </c>
      <c r="CM83" s="33">
        <f>CM25*CM35*условия!$Q$120/1000</f>
        <v>2277.0982193272703</v>
      </c>
      <c r="CN83" s="33">
        <f>CN25*CN35*условия!$Q$120/1000</f>
        <v>2773.6687039414755</v>
      </c>
      <c r="CO83" s="33">
        <f>CO25*CO35*условия!$Q$120/1000</f>
        <v>5935.0204415901817</v>
      </c>
      <c r="CP83" s="33">
        <f>CP25*CP35*условия!$Q$120/1000</f>
        <v>2569.9222799028266</v>
      </c>
      <c r="CQ83" s="33">
        <f>CQ25*CQ35*условия!$Q$120/1000</f>
        <v>6532.3610659686756</v>
      </c>
      <c r="CR83" s="33">
        <f>CR25*CR35*условия!$Q$120/1000</f>
        <v>0</v>
      </c>
      <c r="CS83" s="33">
        <f>CS25*CS35*условия!$Q$120/1000</f>
        <v>4528.664592929159</v>
      </c>
      <c r="CT83" s="33">
        <f>CT25*CT35*условия!$Q$120/1000</f>
        <v>847.33271988495858</v>
      </c>
      <c r="CU83" s="33">
        <f>CU25*CU35*условия!$Q$120/1000</f>
        <v>6162.1139300742771</v>
      </c>
      <c r="CV83" s="33">
        <f>CV25*CV35*условия!$Q$120/1000</f>
        <v>5171.8469990968861</v>
      </c>
      <c r="CW83" s="33">
        <f>CW25*CW35*условия!$Q$120/1000</f>
        <v>9144.4269002382207</v>
      </c>
      <c r="CX83" s="33">
        <f>CX25*CX35*условия!$Q$120/1000</f>
        <v>9505.2239297755259</v>
      </c>
      <c r="CY83" s="33">
        <f>CY25*CY35*условия!$Q$120/1000</f>
        <v>4339.9460437846556</v>
      </c>
      <c r="CZ83" s="33">
        <f>CZ25*CZ35*условия!$Q$120/1000</f>
        <v>0</v>
      </c>
      <c r="DA83" s="33">
        <f>DA25*DA35*условия!$Q$120/1000</f>
        <v>9659.687599455312</v>
      </c>
      <c r="DB83" s="33">
        <f>DB25*DB35*условия!$Q$120/1000</f>
        <v>576.16121438090397</v>
      </c>
      <c r="DC83" s="33">
        <f>DC25*DC35*условия!$Q$120/1000</f>
        <v>10136.7451997277</v>
      </c>
      <c r="DD83" s="33">
        <f>DD25*DD35*условия!$Q$120/1000</f>
        <v>0</v>
      </c>
      <c r="DE83" s="33">
        <f>DE25*DE35*условия!$Q$120/1000</f>
        <v>3619.6584772707761</v>
      </c>
      <c r="DF83" s="33">
        <f>DF25*DF35*условия!$Q$120/1000</f>
        <v>2787.6816711711772</v>
      </c>
      <c r="DG83" s="33">
        <f>DG25*DG35*условия!$Q$120/1000</f>
        <v>5284.5128170501976</v>
      </c>
      <c r="DH83" s="33">
        <f>DH25*DH35*условия!$Q$120/1000</f>
        <v>7411.2050834306328</v>
      </c>
      <c r="DI83" s="33">
        <f>DI25*DI35*условия!$Q$120/1000</f>
        <v>8848.7039358422426</v>
      </c>
      <c r="DJ83" s="33">
        <f>DJ25*DJ35*условия!$Q$120/1000</f>
        <v>12293.315041676186</v>
      </c>
      <c r="DK83" s="33">
        <f>DK25*DK35*условия!$Q$120/1000</f>
        <v>4440.1127896353501</v>
      </c>
      <c r="DL83" s="33">
        <f>DL25*DL35*условия!$Q$120/1000</f>
        <v>3025.0385493798208</v>
      </c>
      <c r="DM83" s="33">
        <f>DM25*DM35*условия!$Q$120/1000</f>
        <v>8163.5942803737416</v>
      </c>
      <c r="DN83" s="33">
        <f>DN25*DN35*условия!$Q$120/1000</f>
        <v>3090.6393881045046</v>
      </c>
      <c r="DO83" s="33">
        <f>DO25*DO35*условия!$Q$120/1000</f>
        <v>8937.8682376415563</v>
      </c>
      <c r="DP83" s="33">
        <f>DP25*DP35*условия!$Q$120/1000</f>
        <v>0</v>
      </c>
      <c r="DQ83" s="33">
        <f>DQ25*DQ35*условия!$Q$120/1000</f>
        <v>6502.1342204750044</v>
      </c>
      <c r="DR83" s="33">
        <f>DR25*DR35*условия!$Q$120/1000</f>
        <v>686.88817975884467</v>
      </c>
      <c r="DS83" s="33">
        <f>DS25*DS35*условия!$Q$120/1000</f>
        <v>8375.6228348002987</v>
      </c>
      <c r="DT83" s="33">
        <f>DT25*DT35*условия!$Q$120/1000</f>
        <v>5849.8718269211495</v>
      </c>
      <c r="DU83" s="33">
        <f>DU25*DU35*условия!$Q$120/1000</f>
        <v>12374.681961681788</v>
      </c>
      <c r="DV83" s="33">
        <f>DV25*DV35*условия!$Q$120/1000</f>
        <v>11230.795245791673</v>
      </c>
      <c r="DW83" s="33">
        <f>DW25*DW35*условия!$Q$120/1000</f>
        <v>7464.2085171826775</v>
      </c>
      <c r="DX83" s="33">
        <f>DX25*DX35*условия!$Q$120/1000</f>
        <v>96.458847383884304</v>
      </c>
      <c r="DY83" s="33">
        <f>DY25*DY35*условия!$Q$120/1000</f>
        <v>11528.482541520827</v>
      </c>
      <c r="DZ83" s="33">
        <f>DZ25*DZ35*условия!$Q$120/1000</f>
        <v>146.19311354131747</v>
      </c>
      <c r="EA83" s="33">
        <f>EA25*EA35*условия!$Q$120/1000</f>
        <v>12332.493659946967</v>
      </c>
      <c r="EB83" s="33">
        <f>EB25*EB35*условия!$Q$120/1000</f>
        <v>0</v>
      </c>
      <c r="EC83" s="33">
        <f>EC25*EC35*условия!$Q$120/1000</f>
        <v>3696.3972622558622</v>
      </c>
      <c r="ED83" s="33">
        <f>ED25*ED35*условия!$Q$120/1000</f>
        <v>3771.0289958142121</v>
      </c>
      <c r="EE83" s="33">
        <f>EE25*EE35*условия!$Q$120/1000</f>
        <v>5623.6787239890464</v>
      </c>
      <c r="EF83" s="33">
        <f>EF25*EF35*условия!$Q$120/1000</f>
        <v>9133.0555073505075</v>
      </c>
      <c r="EG83" s="33">
        <f>EG25*EG35*условия!$Q$120/1000</f>
        <v>9706.5322633513188</v>
      </c>
      <c r="EH83" s="33">
        <f>EH25*EH35*условия!$Q$120/1000</f>
        <v>14700.088681539935</v>
      </c>
      <c r="EI83" s="33">
        <f>EI25*EI35*условия!$Q$120/1000</f>
        <v>4559.6789700648942</v>
      </c>
      <c r="EJ83" s="3"/>
      <c r="EK83" s="3"/>
    </row>
    <row r="84" spans="1:14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</row>
    <row r="85" spans="1:141" x14ac:dyDescent="0.25">
      <c r="A85" s="3"/>
      <c r="B85" s="3"/>
      <c r="C85" s="3"/>
      <c r="D85" s="3"/>
      <c r="E85" s="3"/>
      <c r="F85" s="10" t="str">
        <f>KPI!$F$76</f>
        <v>прочие постоянные производственные расходы</v>
      </c>
      <c r="G85" s="3"/>
      <c r="H85" s="3"/>
      <c r="I85" s="3"/>
      <c r="J85" s="5" t="str">
        <f>IF($F85="","",INDEX(KPI!$I$11:$I$275,SUMIFS(KPI!$E$11:$E$275,KPI!$F$11:$F$275,$F85)))</f>
        <v>тыс.руб.</v>
      </c>
      <c r="K85" s="3"/>
      <c r="L85" s="3"/>
      <c r="M85" s="3"/>
      <c r="N85" s="3"/>
      <c r="O85" s="3"/>
      <c r="P85" s="3"/>
      <c r="Q85" s="12">
        <f>SUM(S85:EJ85)</f>
        <v>4286.7217292894065</v>
      </c>
      <c r="R85" s="3"/>
      <c r="S85" s="55"/>
      <c r="T85" s="33">
        <f>S85+(T15+T63)*условия!$Q$122</f>
        <v>0</v>
      </c>
      <c r="U85" s="33">
        <f>T85+(U15+U63)*условия!$Q$122</f>
        <v>0</v>
      </c>
      <c r="V85" s="33">
        <f>U85+(V15+V63)*условия!$Q$122</f>
        <v>10.499999999999998</v>
      </c>
      <c r="W85" s="33">
        <f>V85+(W15+W63)*условия!$Q$122</f>
        <v>10.499999999999998</v>
      </c>
      <c r="X85" s="33">
        <f>W85+(X15+X63)*условия!$Q$122</f>
        <v>20.999999999999996</v>
      </c>
      <c r="Y85" s="33">
        <f>X85+(Y15+Y63)*условия!$Q$122</f>
        <v>20.999999999999996</v>
      </c>
      <c r="Z85" s="33">
        <f>Y85+(Z15+Z63)*условия!$Q$122</f>
        <v>20.999999999999996</v>
      </c>
      <c r="AA85" s="33">
        <f>Z85+(AA15+AA63)*условия!$Q$122</f>
        <v>20.999999999999996</v>
      </c>
      <c r="AB85" s="33">
        <f>AA85+(AB15+AB63)*условия!$Q$122</f>
        <v>20.999999999999996</v>
      </c>
      <c r="AC85" s="33">
        <f>AB85+(AC15+AC63)*условия!$Q$122</f>
        <v>20.999999999999996</v>
      </c>
      <c r="AD85" s="33">
        <f>AC85+(AD15+AD63)*условия!$Q$122</f>
        <v>20.999999999999996</v>
      </c>
      <c r="AE85" s="33">
        <f>AD85+(AE15+AE63)*условия!$Q$122</f>
        <v>20.999999999999996</v>
      </c>
      <c r="AF85" s="33">
        <f>AE85+(AF15+AF63)*условия!$Q$122</f>
        <v>20.999999999999996</v>
      </c>
      <c r="AG85" s="33">
        <f>AF85+(AG15+AG63)*условия!$Q$122</f>
        <v>20.999999999999996</v>
      </c>
      <c r="AH85" s="33">
        <f>AG85+(AH15+AH63)*условия!$Q$122</f>
        <v>20.999999999999996</v>
      </c>
      <c r="AI85" s="33">
        <f>AH85+(AI15+AI63)*условия!$Q$122</f>
        <v>20.999999999999996</v>
      </c>
      <c r="AJ85" s="33">
        <f>AI85+(AJ15+AJ63)*условия!$Q$122</f>
        <v>20.999999999999996</v>
      </c>
      <c r="AK85" s="33">
        <f>AJ85+(AK15+AK63)*условия!$Q$122</f>
        <v>20.999999999999996</v>
      </c>
      <c r="AL85" s="33">
        <f>AK85+(AL15+AL63)*условия!$Q$122</f>
        <v>20.999999999999996</v>
      </c>
      <c r="AM85" s="33">
        <f>AL85+(AM15+AM63)*условия!$Q$122</f>
        <v>20.999999999999996</v>
      </c>
      <c r="AN85" s="33">
        <f>AM85+(AN15+AN63)*условия!$Q$122</f>
        <v>20.999999999999996</v>
      </c>
      <c r="AO85" s="33">
        <f>AN85+(AO15+AO63)*условия!$Q$122</f>
        <v>20.999999999999996</v>
      </c>
      <c r="AP85" s="33">
        <f>AO85+(AP15+AP63)*условия!$Q$122</f>
        <v>20.999999999999996</v>
      </c>
      <c r="AQ85" s="33">
        <f>AP85+(AQ15+AQ63)*условия!$Q$122</f>
        <v>20.999999999999996</v>
      </c>
      <c r="AR85" s="33">
        <f>AQ85+(AR15+AR63)*условия!$Q$122</f>
        <v>20.999999999999996</v>
      </c>
      <c r="AS85" s="33">
        <f>AR85+(AS15+AS63)*условия!$Q$122</f>
        <v>20.999999999999996</v>
      </c>
      <c r="AT85" s="33">
        <f>AS85+(AT15+AT63)*условия!$Q$122</f>
        <v>20.999999999999996</v>
      </c>
      <c r="AU85" s="33">
        <f>AT85+(AU15+AU63)*условия!$Q$122</f>
        <v>20.999999999999996</v>
      </c>
      <c r="AV85" s="33">
        <f>AU85+(AV15+AV63)*условия!$Q$122</f>
        <v>20.999999999999996</v>
      </c>
      <c r="AW85" s="33">
        <f>AV85+(AW15+AW63)*условия!$Q$122</f>
        <v>20.999999999999996</v>
      </c>
      <c r="AX85" s="33">
        <f>AW85+(AX15+AX63)*условия!$Q$122</f>
        <v>20.999999999999996</v>
      </c>
      <c r="AY85" s="33">
        <f>AX85+(AY15+AY63)*условия!$Q$122</f>
        <v>20.999999999999996</v>
      </c>
      <c r="AZ85" s="33">
        <f>AY85+(AZ15+AZ63)*условия!$Q$122</f>
        <v>20.999999999999996</v>
      </c>
      <c r="BA85" s="33">
        <f>AZ85+(BA15+BA63)*условия!$Q$122</f>
        <v>20.999999999999996</v>
      </c>
      <c r="BB85" s="33">
        <f>BA85+(BB15+BB63)*условия!$Q$122</f>
        <v>20.999999999999996</v>
      </c>
      <c r="BC85" s="33">
        <f>BB85+(BC15+BC63)*условия!$Q$122</f>
        <v>20.999999999999996</v>
      </c>
      <c r="BD85" s="33">
        <f>BC85+(BD15+BD63)*условия!$Q$122</f>
        <v>20.999999999999996</v>
      </c>
      <c r="BE85" s="33">
        <f>BD85+(BE15+BE63)*условия!$Q$122</f>
        <v>20.999999999999996</v>
      </c>
      <c r="BF85" s="33">
        <f>BE85+(BF15+BF63)*условия!$Q$122</f>
        <v>20.999999999999996</v>
      </c>
      <c r="BG85" s="33">
        <f>BF85+(BG15+BG63)*условия!$Q$122</f>
        <v>20.999999999999996</v>
      </c>
      <c r="BH85" s="33">
        <f>BG85+(BH15+BH63)*условия!$Q$122</f>
        <v>20.999999999999996</v>
      </c>
      <c r="BI85" s="33">
        <f>BH85+(BI15+BI63)*условия!$Q$122</f>
        <v>20.999999999999996</v>
      </c>
      <c r="BJ85" s="33">
        <f>BI85+(BJ15+BJ63)*условия!$Q$122</f>
        <v>20.999999999999996</v>
      </c>
      <c r="BK85" s="33">
        <f>BJ85+(BK15+BK63)*условия!$Q$122</f>
        <v>20.999999999999996</v>
      </c>
      <c r="BL85" s="33">
        <f>BK85+(BL15+BL63)*условия!$Q$122</f>
        <v>20.999999999999996</v>
      </c>
      <c r="BM85" s="33">
        <f>BL85+(BM15+BM63)*условия!$Q$122</f>
        <v>20.999999999999996</v>
      </c>
      <c r="BN85" s="33">
        <f>BM85+(BN15+BN63)*условия!$Q$122</f>
        <v>20.999999999999996</v>
      </c>
      <c r="BO85" s="33">
        <f>BN85+(BO15+BO63)*условия!$Q$122</f>
        <v>20.999999999999996</v>
      </c>
      <c r="BP85" s="33">
        <f>BO85+(BP15+BP63)*условия!$Q$122</f>
        <v>20.999999999999996</v>
      </c>
      <c r="BQ85" s="33">
        <f>BP85+(BQ15+BQ63)*условия!$Q$122</f>
        <v>20.999999999999996</v>
      </c>
      <c r="BR85" s="33">
        <f>BQ85+(BR15+BR63)*условия!$Q$122</f>
        <v>20.999999999999996</v>
      </c>
      <c r="BS85" s="33">
        <f>BR85+(BS15+BS63)*условия!$Q$122</f>
        <v>20.999999999999996</v>
      </c>
      <c r="BT85" s="33">
        <f>BS85+(BT15+BT63)*условия!$Q$122</f>
        <v>20.999999999999996</v>
      </c>
      <c r="BU85" s="33">
        <f>BT85+(BU15+BU63)*условия!$Q$122</f>
        <v>20.999999999999996</v>
      </c>
      <c r="BV85" s="33">
        <f>BU85+(BV15+BV63)*условия!$Q$122</f>
        <v>20.999999999999996</v>
      </c>
      <c r="BW85" s="33">
        <f>BV85+(BW15+BW63)*условия!$Q$122</f>
        <v>30.544310013</v>
      </c>
      <c r="BX85" s="33">
        <f>BW85+(BX15+BX63)*условия!$Q$122</f>
        <v>30.544310013</v>
      </c>
      <c r="BY85" s="33">
        <f>BX85+(BY15+BY63)*условия!$Q$122</f>
        <v>40.088620026000001</v>
      </c>
      <c r="BZ85" s="33">
        <f>BY85+(BZ15+BZ63)*условия!$Q$122</f>
        <v>40.088620026000001</v>
      </c>
      <c r="CA85" s="33">
        <f>BZ85+(CA15+CA63)*условия!$Q$122</f>
        <v>40.088620026000001</v>
      </c>
      <c r="CB85" s="33">
        <f>CA85+(CB15+CB63)*условия!$Q$122</f>
        <v>40.088620026000001</v>
      </c>
      <c r="CC85" s="33">
        <f>CB85+(CC15+CC63)*условия!$Q$122</f>
        <v>40.088620026000001</v>
      </c>
      <c r="CD85" s="33">
        <f>CC85+(CD15+CD63)*условия!$Q$122</f>
        <v>40.088620026000001</v>
      </c>
      <c r="CE85" s="33">
        <f>CD85+(CE15+CE63)*условия!$Q$122</f>
        <v>40.088620026000001</v>
      </c>
      <c r="CF85" s="33">
        <f>CE85+(CF15+CF63)*условия!$Q$122</f>
        <v>40.088620026000001</v>
      </c>
      <c r="CG85" s="33">
        <f>CF85+(CG15+CG63)*условия!$Q$122</f>
        <v>40.088620026000001</v>
      </c>
      <c r="CH85" s="33">
        <f>CG85+(CH15+CH63)*условия!$Q$122</f>
        <v>40.088620026000001</v>
      </c>
      <c r="CI85" s="33">
        <f>CH85+(CI15+CI63)*условия!$Q$122</f>
        <v>40.088620026000001</v>
      </c>
      <c r="CJ85" s="33">
        <f>CI85+(CJ15+CJ63)*условия!$Q$122</f>
        <v>40.088620026000001</v>
      </c>
      <c r="CK85" s="33">
        <f>CJ85+(CK15+CK63)*условия!$Q$122</f>
        <v>40.088620026000001</v>
      </c>
      <c r="CL85" s="33">
        <f>CK85+(CL15+CL63)*условия!$Q$122</f>
        <v>40.088620026000001</v>
      </c>
      <c r="CM85" s="33">
        <f>CL85+(CM15+CM63)*условия!$Q$122</f>
        <v>40.088620026000001</v>
      </c>
      <c r="CN85" s="33">
        <f>CM85+(CN15+CN63)*условия!$Q$122</f>
        <v>40.088620026000001</v>
      </c>
      <c r="CO85" s="33">
        <f>CN85+(CO15+CO63)*условия!$Q$122</f>
        <v>40.088620026000001</v>
      </c>
      <c r="CP85" s="33">
        <f>CO85+(CP15+CP63)*условия!$Q$122</f>
        <v>40.088620026000001</v>
      </c>
      <c r="CQ85" s="33">
        <f>CP85+(CQ15+CQ63)*условия!$Q$122</f>
        <v>40.088620026000001</v>
      </c>
      <c r="CR85" s="33">
        <f>CQ85+(CR15+CR63)*условия!$Q$122</f>
        <v>40.088620026000001</v>
      </c>
      <c r="CS85" s="33">
        <f>CR85+(CS15+CS63)*условия!$Q$122</f>
        <v>40.088620026000001</v>
      </c>
      <c r="CT85" s="33">
        <f>CS85+(CT15+CT63)*условия!$Q$122</f>
        <v>40.088620026000001</v>
      </c>
      <c r="CU85" s="33">
        <f>CT85+(CU15+CU63)*условия!$Q$122</f>
        <v>40.088620026000001</v>
      </c>
      <c r="CV85" s="33">
        <f>CU85+(CV15+CV63)*условия!$Q$122</f>
        <v>40.088620026000001</v>
      </c>
      <c r="CW85" s="33">
        <f>CV85+(CW15+CW63)*условия!$Q$122</f>
        <v>40.088620026000001</v>
      </c>
      <c r="CX85" s="33">
        <f>CW85+(CX15+CX63)*условия!$Q$122</f>
        <v>40.088620026000001</v>
      </c>
      <c r="CY85" s="33">
        <f>CX85+(CY15+CY63)*условия!$Q$122</f>
        <v>40.088620026000001</v>
      </c>
      <c r="CZ85" s="33">
        <f>CY85+(CZ15+CZ63)*условия!$Q$122</f>
        <v>40.088620026000001</v>
      </c>
      <c r="DA85" s="33">
        <f>CZ85+(DA15+DA63)*условия!$Q$122</f>
        <v>40.088620026000001</v>
      </c>
      <c r="DB85" s="33">
        <f>DA85+(DB15+DB63)*условия!$Q$122</f>
        <v>40.088620026000001</v>
      </c>
      <c r="DC85" s="33">
        <f>DB85+(DC15+DC63)*условия!$Q$122</f>
        <v>40.088620026000001</v>
      </c>
      <c r="DD85" s="33">
        <f>DC85+(DD15+DD63)*условия!$Q$122</f>
        <v>40.088620026000001</v>
      </c>
      <c r="DE85" s="33">
        <f>DD85+(DE15+DE63)*условия!$Q$122</f>
        <v>40.088620026000001</v>
      </c>
      <c r="DF85" s="33">
        <f>DE85+(DF15+DF63)*условия!$Q$122</f>
        <v>40.088620026000001</v>
      </c>
      <c r="DG85" s="33">
        <f>DF85+(DG15+DG63)*условия!$Q$122</f>
        <v>40.088620026000001</v>
      </c>
      <c r="DH85" s="33">
        <f>DG85+(DH15+DH63)*условия!$Q$122</f>
        <v>51.348806093137142</v>
      </c>
      <c r="DI85" s="33">
        <f>DH85+(DI15+DI63)*условия!$Q$122</f>
        <v>51.348806093137142</v>
      </c>
      <c r="DJ85" s="33">
        <f>DI85+(DJ15+DJ63)*условия!$Q$122</f>
        <v>62.608992160274283</v>
      </c>
      <c r="DK85" s="33">
        <f>DJ85+(DK15+DK63)*условия!$Q$122</f>
        <v>62.608992160274283</v>
      </c>
      <c r="DL85" s="33">
        <f>DK85+(DL15+DL63)*условия!$Q$122</f>
        <v>62.608992160274283</v>
      </c>
      <c r="DM85" s="33">
        <f>DL85+(DM15+DM63)*условия!$Q$122</f>
        <v>62.608992160274283</v>
      </c>
      <c r="DN85" s="33">
        <f>DM85+(DN15+DN63)*условия!$Q$122</f>
        <v>62.608992160274283</v>
      </c>
      <c r="DO85" s="33">
        <f>DN85+(DO15+DO63)*условия!$Q$122</f>
        <v>62.608992160274283</v>
      </c>
      <c r="DP85" s="33">
        <f>DO85+(DP15+DP63)*условия!$Q$122</f>
        <v>62.608992160274283</v>
      </c>
      <c r="DQ85" s="33">
        <f>DP85+(DQ15+DQ63)*условия!$Q$122</f>
        <v>62.608992160274283</v>
      </c>
      <c r="DR85" s="33">
        <f>DQ85+(DR15+DR63)*условия!$Q$122</f>
        <v>62.608992160274283</v>
      </c>
      <c r="DS85" s="33">
        <f>DR85+(DS15+DS63)*условия!$Q$122</f>
        <v>62.608992160274283</v>
      </c>
      <c r="DT85" s="33">
        <f>DS85+(DT15+DT63)*условия!$Q$122</f>
        <v>62.608992160274283</v>
      </c>
      <c r="DU85" s="33">
        <f>DT85+(DU15+DU63)*условия!$Q$122</f>
        <v>62.608992160274283</v>
      </c>
      <c r="DV85" s="33">
        <f>DU85+(DV15+DV63)*условия!$Q$122</f>
        <v>62.608992160274283</v>
      </c>
      <c r="DW85" s="33">
        <f>DV85+(DW15+DW63)*условия!$Q$122</f>
        <v>62.608992160274283</v>
      </c>
      <c r="DX85" s="33">
        <f>DW85+(DX15+DX63)*условия!$Q$122</f>
        <v>62.608992160274283</v>
      </c>
      <c r="DY85" s="33">
        <f>DX85+(DY15+DY63)*условия!$Q$122</f>
        <v>62.608992160274283</v>
      </c>
      <c r="DZ85" s="33">
        <f>DY85+(DZ15+DZ63)*условия!$Q$122</f>
        <v>62.608992160274283</v>
      </c>
      <c r="EA85" s="33">
        <f>DZ85+(EA15+EA63)*условия!$Q$122</f>
        <v>62.608992160274283</v>
      </c>
      <c r="EB85" s="33">
        <f>EA85+(EB15+EB63)*условия!$Q$122</f>
        <v>62.608992160274283</v>
      </c>
      <c r="EC85" s="33">
        <f>EB85+(EC15+EC63)*условия!$Q$122</f>
        <v>62.608992160274283</v>
      </c>
      <c r="ED85" s="33">
        <f>EC85+(ED15+ED63)*условия!$Q$122</f>
        <v>62.608992160274283</v>
      </c>
      <c r="EE85" s="33">
        <f>ED85+(EE15+EE63)*условия!$Q$122</f>
        <v>62.608992160274283</v>
      </c>
      <c r="EF85" s="33">
        <f>EE85+(EF15+EF63)*условия!$Q$122</f>
        <v>62.608992160274283</v>
      </c>
      <c r="EG85" s="33">
        <f>EF85+(EG15+EG63)*условия!$Q$122</f>
        <v>62.608992160274283</v>
      </c>
      <c r="EH85" s="33">
        <f>EG85+(EH15+EH63)*условия!$Q$122</f>
        <v>62.608992160274283</v>
      </c>
      <c r="EI85" s="33">
        <f>EH85+(EI15+EI63)*условия!$Q$122</f>
        <v>62.608992160274283</v>
      </c>
      <c r="EJ85" s="3"/>
      <c r="EK85" s="3"/>
    </row>
    <row r="86" spans="1:14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</row>
    <row r="87" spans="1:141" x14ac:dyDescent="0.25">
      <c r="A87" s="3"/>
      <c r="B87" s="3"/>
      <c r="C87" s="3"/>
      <c r="D87" s="3"/>
      <c r="E87" s="3"/>
      <c r="F87" s="10" t="str">
        <f>KPI!$F$78</f>
        <v>прочие переменные производственные расходы</v>
      </c>
      <c r="G87" s="3"/>
      <c r="H87" s="3"/>
      <c r="I87" s="3"/>
      <c r="J87" s="5" t="str">
        <f>IF($F87="","",INDEX(KPI!$I$11:$I$275,SUMIFS(KPI!$E$11:$E$275,KPI!$F$11:$F$275,$F87)))</f>
        <v>тыс.руб.</v>
      </c>
      <c r="K87" s="3"/>
      <c r="L87" s="3"/>
      <c r="M87" s="3"/>
      <c r="N87" s="3"/>
      <c r="O87" s="3"/>
      <c r="P87" s="3"/>
      <c r="Q87" s="12">
        <f>SUM(S87:EJ87)</f>
        <v>6544.0544370967718</v>
      </c>
      <c r="R87" s="3"/>
      <c r="S87" s="55"/>
      <c r="T87" s="33">
        <f>T25*T35*условия!$Q$124/1000</f>
        <v>0</v>
      </c>
      <c r="U87" s="33">
        <f>U25*U35*условия!$Q$124/1000</f>
        <v>0</v>
      </c>
      <c r="V87" s="33">
        <f>V25*V35*условия!$Q$124/1000</f>
        <v>0</v>
      </c>
      <c r="W87" s="33">
        <f>W25*W35*условия!$Q$124/1000</f>
        <v>0</v>
      </c>
      <c r="X87" s="33">
        <f>X25*X35*условия!$Q$124/1000</f>
        <v>1.8937393548387096</v>
      </c>
      <c r="Y87" s="33">
        <f>Y25*Y35*условия!$Q$124/1000</f>
        <v>0</v>
      </c>
      <c r="Z87" s="33">
        <f>Z25*Z35*условия!$Q$124/1000</f>
        <v>0.15662612903225798</v>
      </c>
      <c r="AA87" s="33">
        <f>AA25*AA35*условия!$Q$124/1000</f>
        <v>1.2463215483870969</v>
      </c>
      <c r="AB87" s="33">
        <f>AB25*AB35*условия!$Q$124/1000</f>
        <v>1.0872553548387096</v>
      </c>
      <c r="AC87" s="33">
        <f>AC25*AC35*условия!$Q$124/1000</f>
        <v>1.8331563870967746</v>
      </c>
      <c r="AD87" s="33">
        <f>AD25*AD35*условия!$Q$124/1000</f>
        <v>2.0039338064516126</v>
      </c>
      <c r="AE87" s="33">
        <f>AE25*AE35*условия!$Q$124/1000</f>
        <v>0.67145806451612966</v>
      </c>
      <c r="AF87" s="33">
        <f>AF25*AF35*условия!$Q$124/1000</f>
        <v>5.4192325780645163</v>
      </c>
      <c r="AG87" s="33">
        <f>AG25*AG35*условия!$Q$124/1000</f>
        <v>1.6111564180645159</v>
      </c>
      <c r="AH87" s="33">
        <f>AH25*AH35*условия!$Q$124/1000</f>
        <v>5.1217607225806461</v>
      </c>
      <c r="AI87" s="33">
        <f>AI25*AI35*условия!$Q$124/1000</f>
        <v>2.0730048495483864</v>
      </c>
      <c r="AJ87" s="33">
        <f>AJ25*AJ35*условия!$Q$124/1000</f>
        <v>2.0992343535483879</v>
      </c>
      <c r="AK87" s="33">
        <f>AK25*AK35*условия!$Q$124/1000</f>
        <v>1.9656480371612892</v>
      </c>
      <c r="AL87" s="33">
        <f>AL25*AL35*условия!$Q$124/1000</f>
        <v>2.2329177847741946</v>
      </c>
      <c r="AM87" s="33">
        <f>AM25*AM35*условия!$Q$124/1000</f>
        <v>3.4144169125161286</v>
      </c>
      <c r="AN87" s="33">
        <f>AN25*AN35*условия!$Q$124/1000</f>
        <v>6.0132658374193539</v>
      </c>
      <c r="AO87" s="33">
        <f>AO25*AO35*условия!$Q$124/1000</f>
        <v>5.7244329538064509</v>
      </c>
      <c r="AP87" s="33">
        <f>AP25*AP35*условия!$Q$124/1000</f>
        <v>9.7841160588387091</v>
      </c>
      <c r="AQ87" s="33">
        <f>AQ25*AQ35*условия!$Q$124/1000</f>
        <v>0.96192247741935522</v>
      </c>
      <c r="AR87" s="33">
        <f>AR25*AR35*условия!$Q$124/1000</f>
        <v>15.072628422193548</v>
      </c>
      <c r="AS87" s="33">
        <f>AS25*AS35*условия!$Q$124/1000</f>
        <v>5.2997821357419381</v>
      </c>
      <c r="AT87" s="33">
        <f>AT25*AT35*условия!$Q$124/1000</f>
        <v>14.158374358709674</v>
      </c>
      <c r="AU87" s="33">
        <f>AU25*AU35*условия!$Q$124/1000</f>
        <v>6.633216862141941</v>
      </c>
      <c r="AV87" s="33">
        <f>AV25*AV35*условия!$Q$124/1000</f>
        <v>5.4333664289032217</v>
      </c>
      <c r="AW87" s="33">
        <f>AW25*AW35*условия!$Q$124/1000</f>
        <v>6.3246720132129068</v>
      </c>
      <c r="AX87" s="33">
        <f>AX25*AX35*условия!$Q$124/1000</f>
        <v>5.8144525823999968</v>
      </c>
      <c r="AY87" s="33">
        <f>AY25*AY35*условия!$Q$124/1000</f>
        <v>10.504123207019356</v>
      </c>
      <c r="AZ87" s="33">
        <f>AZ25*AZ35*условия!$Q$124/1000</f>
        <v>16.684185074787091</v>
      </c>
      <c r="BA87" s="33">
        <f>BA25*BA35*условия!$Q$124/1000</f>
        <v>17.103948103019359</v>
      </c>
      <c r="BB87" s="33">
        <f>BB25*BB35*условия!$Q$124/1000</f>
        <v>27.330230935948379</v>
      </c>
      <c r="BC87" s="33">
        <f>BC25*BC35*условия!$Q$124/1000</f>
        <v>3.4317065909677504</v>
      </c>
      <c r="BD87" s="33">
        <f>BD25*BD35*условия!$Q$124/1000</f>
        <v>25.027812552670969</v>
      </c>
      <c r="BE87" s="33">
        <f>BE25*BE35*условия!$Q$124/1000</f>
        <v>15.689167266477444</v>
      </c>
      <c r="BF87" s="33">
        <f>BF25*BF35*условия!$Q$124/1000</f>
        <v>25.740628871688525</v>
      </c>
      <c r="BG87" s="33">
        <f>BG25*BG35*условия!$Q$124/1000</f>
        <v>17.131898211825789</v>
      </c>
      <c r="BH87" s="33">
        <f>BH25*BH35*условия!$Q$124/1000</f>
        <v>7.7621830322829606</v>
      </c>
      <c r="BI87" s="33">
        <f>BI25*BI35*условия!$Q$124/1000</f>
        <v>16.482018048253465</v>
      </c>
      <c r="BJ87" s="33">
        <f>BJ25*BJ35*условия!$Q$124/1000</f>
        <v>8.538043414377908</v>
      </c>
      <c r="BK87" s="33">
        <f>BK25*BK35*условия!$Q$124/1000</f>
        <v>25.135902167119763</v>
      </c>
      <c r="BL87" s="33">
        <f>BL25*BL35*условия!$Q$124/1000</f>
        <v>30.906217632465562</v>
      </c>
      <c r="BM87" s="33">
        <f>BM25*BM35*условия!$Q$124/1000</f>
        <v>38.849339110041242</v>
      </c>
      <c r="BN87" s="33">
        <f>BN25*BN35*условия!$Q$124/1000</f>
        <v>52.728623094548759</v>
      </c>
      <c r="BO87" s="33">
        <f>BO25*BO35*условия!$Q$124/1000</f>
        <v>10.792158324324843</v>
      </c>
      <c r="BP87" s="33">
        <f>BP25*BP35*условия!$Q$124/1000</f>
        <v>35.595507143993203</v>
      </c>
      <c r="BQ87" s="33">
        <f>BQ25*BQ35*условия!$Q$124/1000</f>
        <v>46.132077751163941</v>
      </c>
      <c r="BR87" s="33">
        <f>BR25*BR35*условия!$Q$124/1000</f>
        <v>33.932023737179918</v>
      </c>
      <c r="BS87" s="33">
        <f>BS25*BS35*условия!$Q$124/1000</f>
        <v>51.802426045416148</v>
      </c>
      <c r="BT87" s="33">
        <f>BT25*BT35*условия!$Q$124/1000</f>
        <v>2.1077090933434754</v>
      </c>
      <c r="BU87" s="33">
        <f>BU25*BU35*условия!$Q$124/1000</f>
        <v>48.026903225465944</v>
      </c>
      <c r="BV87" s="33">
        <f>BV25*BV35*условия!$Q$124/1000</f>
        <v>2.5065996630156593</v>
      </c>
      <c r="BW87" s="33">
        <f>BW25*BW35*условия!$Q$124/1000</f>
        <v>63.606634248048557</v>
      </c>
      <c r="BX87" s="33">
        <f>BX25*BX35*условия!$Q$124/1000</f>
        <v>43.355952471779169</v>
      </c>
      <c r="BY87" s="33">
        <f>BY25*BY35*условия!$Q$124/1000</f>
        <v>92.615324152420882</v>
      </c>
      <c r="BZ87" s="33">
        <f>BZ25*BZ35*условия!$Q$124/1000</f>
        <v>85.106562394558452</v>
      </c>
      <c r="CA87" s="33">
        <f>CA25*CA35*условия!$Q$124/1000</f>
        <v>47.61266529069286</v>
      </c>
      <c r="CB87" s="33">
        <f>CB25*CB35*условия!$Q$124/1000</f>
        <v>19.982079150869524</v>
      </c>
      <c r="CC87" s="33">
        <f>CC25*CC35*условия!$Q$124/1000</f>
        <v>94.469189295316866</v>
      </c>
      <c r="CD87" s="33">
        <f>CD25*CD35*условия!$Q$124/1000</f>
        <v>17.16049672225251</v>
      </c>
      <c r="CE87" s="33">
        <f>CE25*CE35*условия!$Q$124/1000</f>
        <v>102.46608122151069</v>
      </c>
      <c r="CF87" s="33">
        <f>CF25*CF35*условия!$Q$124/1000</f>
        <v>0</v>
      </c>
      <c r="CG87" s="33">
        <f>CG25*CG35*условия!$Q$124/1000</f>
        <v>42.967962531157852</v>
      </c>
      <c r="CH87" s="33">
        <f>CH25*CH35*условия!$Q$124/1000</f>
        <v>27.746502183790529</v>
      </c>
      <c r="CI87" s="33">
        <f>CI25*CI35*условия!$Q$124/1000</f>
        <v>64.380306097819911</v>
      </c>
      <c r="CJ87" s="33">
        <f>CJ25*CJ35*условия!$Q$124/1000</f>
        <v>84.894018925041806</v>
      </c>
      <c r="CK87" s="33">
        <f>CK25*CK35*условия!$Q$124/1000</f>
        <v>103.55538639320068</v>
      </c>
      <c r="CL87" s="33">
        <f>CL25*CL35*условия!$Q$124/1000</f>
        <v>142.92902565078009</v>
      </c>
      <c r="CM87" s="33">
        <f>CM25*CM35*условия!$Q$124/1000</f>
        <v>39.84921883822723</v>
      </c>
      <c r="CN87" s="33">
        <f>CN25*CN35*условия!$Q$124/1000</f>
        <v>48.539202318975825</v>
      </c>
      <c r="CO87" s="33">
        <f>CO25*CO35*условия!$Q$124/1000</f>
        <v>103.86285772782817</v>
      </c>
      <c r="CP87" s="33">
        <f>CP25*CP35*условия!$Q$124/1000</f>
        <v>44.97363989829946</v>
      </c>
      <c r="CQ87" s="33">
        <f>CQ25*CQ35*условия!$Q$124/1000</f>
        <v>114.31631865445182</v>
      </c>
      <c r="CR87" s="33">
        <f>CR25*CR35*условия!$Q$124/1000</f>
        <v>0</v>
      </c>
      <c r="CS87" s="33">
        <f>CS25*CS35*условия!$Q$124/1000</f>
        <v>79.25163037626028</v>
      </c>
      <c r="CT87" s="33">
        <f>CT25*CT35*условия!$Q$124/1000</f>
        <v>14.828322597986775</v>
      </c>
      <c r="CU87" s="33">
        <f>CU25*CU35*условия!$Q$124/1000</f>
        <v>107.83699377629985</v>
      </c>
      <c r="CV87" s="33">
        <f>CV25*CV35*условия!$Q$124/1000</f>
        <v>90.507322484195512</v>
      </c>
      <c r="CW87" s="33">
        <f>CW25*CW35*условия!$Q$124/1000</f>
        <v>160.02747075416886</v>
      </c>
      <c r="CX87" s="33">
        <f>CX25*CX35*условия!$Q$124/1000</f>
        <v>166.34141877107172</v>
      </c>
      <c r="CY87" s="33">
        <f>CY25*CY35*условия!$Q$124/1000</f>
        <v>75.949055766231467</v>
      </c>
      <c r="CZ87" s="33">
        <f>CZ25*CZ35*условия!$Q$124/1000</f>
        <v>0</v>
      </c>
      <c r="DA87" s="33">
        <f>DA25*DA35*условия!$Q$124/1000</f>
        <v>169.04453299046796</v>
      </c>
      <c r="DB87" s="33">
        <f>DB25*DB35*условия!$Q$124/1000</f>
        <v>10.082821251665818</v>
      </c>
      <c r="DC87" s="33">
        <f>DC25*DC35*условия!$Q$124/1000</f>
        <v>177.39304099523477</v>
      </c>
      <c r="DD87" s="33">
        <f>DD25*DD35*условия!$Q$124/1000</f>
        <v>0</v>
      </c>
      <c r="DE87" s="33">
        <f>DE25*DE35*условия!$Q$124/1000</f>
        <v>63.34402335223858</v>
      </c>
      <c r="DF87" s="33">
        <f>DF25*DF35*условия!$Q$124/1000</f>
        <v>48.784429245495595</v>
      </c>
      <c r="DG87" s="33">
        <f>DG25*DG35*условия!$Q$124/1000</f>
        <v>92.478974298378446</v>
      </c>
      <c r="DH87" s="33">
        <f>DH25*DH35*условия!$Q$124/1000</f>
        <v>129.69608896003606</v>
      </c>
      <c r="DI87" s="33">
        <f>DI25*DI35*условия!$Q$124/1000</f>
        <v>154.85231887723924</v>
      </c>
      <c r="DJ87" s="33">
        <f>DJ25*DJ35*условия!$Q$124/1000</f>
        <v>215.13301322933324</v>
      </c>
      <c r="DK87" s="33">
        <f>DK25*DK35*условия!$Q$124/1000</f>
        <v>77.701973818618626</v>
      </c>
      <c r="DL87" s="33">
        <f>DL25*DL35*условия!$Q$124/1000</f>
        <v>52.93817461414686</v>
      </c>
      <c r="DM87" s="33">
        <f>DM25*DM35*условия!$Q$124/1000</f>
        <v>142.86289990654046</v>
      </c>
      <c r="DN87" s="33">
        <f>DN25*DN35*условия!$Q$124/1000</f>
        <v>54.086189291828831</v>
      </c>
      <c r="DO87" s="33">
        <f>DO25*DO35*условия!$Q$124/1000</f>
        <v>156.41269415872725</v>
      </c>
      <c r="DP87" s="33">
        <f>DP25*DP35*условия!$Q$124/1000</f>
        <v>0</v>
      </c>
      <c r="DQ87" s="33">
        <f>DQ25*DQ35*условия!$Q$124/1000</f>
        <v>113.78734885831255</v>
      </c>
      <c r="DR87" s="33">
        <f>DR25*DR35*условия!$Q$124/1000</f>
        <v>12.020543145779783</v>
      </c>
      <c r="DS87" s="33">
        <f>DS25*DS35*условия!$Q$124/1000</f>
        <v>146.57339960900524</v>
      </c>
      <c r="DT87" s="33">
        <f>DT25*DT35*условия!$Q$124/1000</f>
        <v>102.37275697112013</v>
      </c>
      <c r="DU87" s="33">
        <f>DU25*DU35*условия!$Q$124/1000</f>
        <v>216.5569343294313</v>
      </c>
      <c r="DV87" s="33">
        <f>DV25*DV35*условия!$Q$124/1000</f>
        <v>196.53891680135425</v>
      </c>
      <c r="DW87" s="33">
        <f>DW25*DW35*условия!$Q$124/1000</f>
        <v>130.62364905069683</v>
      </c>
      <c r="DX87" s="33">
        <f>DX25*DX35*условия!$Q$124/1000</f>
        <v>1.6880298292179752</v>
      </c>
      <c r="DY87" s="33">
        <f>DY25*DY35*условия!$Q$124/1000</f>
        <v>201.74844447661448</v>
      </c>
      <c r="DZ87" s="33">
        <f>DZ25*DZ35*условия!$Q$124/1000</f>
        <v>2.5583794869730561</v>
      </c>
      <c r="EA87" s="33">
        <f>EA25*EA35*условия!$Q$124/1000</f>
        <v>215.81863904907192</v>
      </c>
      <c r="EB87" s="33">
        <f>EB25*EB35*условия!$Q$124/1000</f>
        <v>0</v>
      </c>
      <c r="EC87" s="33">
        <f>EC25*EC35*условия!$Q$124/1000</f>
        <v>64.686952089477586</v>
      </c>
      <c r="ED87" s="33">
        <f>ED25*ED35*условия!$Q$124/1000</f>
        <v>65.993007426748704</v>
      </c>
      <c r="EE87" s="33">
        <f>EE25*EE35*условия!$Q$124/1000</f>
        <v>98.414377669808289</v>
      </c>
      <c r="EF87" s="33">
        <f>EF25*EF35*условия!$Q$124/1000</f>
        <v>159.82847137863391</v>
      </c>
      <c r="EG87" s="33">
        <f>EG25*EG35*условия!$Q$124/1000</f>
        <v>169.8643146086481</v>
      </c>
      <c r="EH87" s="33">
        <f>EH25*EH35*условия!$Q$124/1000</f>
        <v>257.25155192694888</v>
      </c>
      <c r="EI87" s="33">
        <f>EI25*EI35*условия!$Q$124/1000</f>
        <v>79.794381976135639</v>
      </c>
      <c r="EJ87" s="3"/>
      <c r="EK87" s="3"/>
    </row>
    <row r="88" spans="1:14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</row>
    <row r="89" spans="1:141" x14ac:dyDescent="0.25">
      <c r="A89" s="3"/>
      <c r="B89" s="3"/>
      <c r="C89" s="3"/>
      <c r="D89" s="3"/>
      <c r="E89" s="3"/>
      <c r="F89" s="10" t="str">
        <f>KPI!$F$82</f>
        <v>расходы на аутсорсинг исходящей логистики</v>
      </c>
      <c r="G89" s="3"/>
      <c r="H89" s="3"/>
      <c r="I89" s="3"/>
      <c r="J89" s="5" t="str">
        <f>IF($F89="","",INDEX(KPI!$I$11:$I$275,SUMIFS(KPI!$E$11:$E$275,KPI!$F$11:$F$275,$F89)))</f>
        <v>тыс.руб.</v>
      </c>
      <c r="K89" s="3"/>
      <c r="L89" s="3"/>
      <c r="M89" s="3"/>
      <c r="N89" s="3"/>
      <c r="O89" s="3"/>
      <c r="P89" s="3"/>
      <c r="Q89" s="12">
        <f>SUM(S89:EJ89)</f>
        <v>57084.39277730001</v>
      </c>
      <c r="R89" s="3"/>
      <c r="S89" s="55"/>
      <c r="T89" s="33">
        <f>IF(условия!$Q$126=0,0,(T21/условия!$Q$126)*SUMIFS(условия!$128:$128,условия!$8:$8,"&lt;="&amp;T$9,условия!$9:$9,"&gt;="&amp;T$9)/1000)</f>
        <v>0</v>
      </c>
      <c r="U89" s="33">
        <f>IF(условия!$Q$126=0,0,(U21/условия!$Q$126)*SUMIFS(условия!$128:$128,условия!$8:$8,"&lt;="&amp;U$9,условия!$9:$9,"&gt;="&amp;U$9)/1000)</f>
        <v>0</v>
      </c>
      <c r="V89" s="33">
        <f>IF(условия!$Q$126=0,0,(V21/условия!$Q$126)*SUMIFS(условия!$128:$128,условия!$8:$8,"&lt;="&amp;V$9,условия!$9:$9,"&gt;="&amp;V$9)/1000)</f>
        <v>0</v>
      </c>
      <c r="W89" s="33">
        <f>IF(условия!$Q$126=0,0,(W21/условия!$Q$126)*SUMIFS(условия!$128:$128,условия!$8:$8,"&lt;="&amp;W$9,условия!$9:$9,"&gt;="&amp;W$9)/1000)</f>
        <v>0</v>
      </c>
      <c r="X89" s="33">
        <f>IF(условия!$Q$126=0,0,(X21/условия!$Q$126)*SUMIFS(условия!$128:$128,условия!$8:$8,"&lt;="&amp;X$9,условия!$9:$9,"&gt;="&amp;X$9)/1000)</f>
        <v>5.4</v>
      </c>
      <c r="Y89" s="33">
        <f>IF(условия!$Q$126=0,0,(Y21/условия!$Q$126)*SUMIFS(условия!$128:$128,условия!$8:$8,"&lt;="&amp;Y$9,условия!$9:$9,"&gt;="&amp;Y$9)/1000)</f>
        <v>4.5</v>
      </c>
      <c r="Z89" s="33">
        <f>IF(условия!$Q$126=0,0,(Z21/условия!$Q$126)*SUMIFS(условия!$128:$128,условия!$8:$8,"&lt;="&amp;Z$9,условия!$9:$9,"&gt;="&amp;Z$9)/1000)</f>
        <v>4.5</v>
      </c>
      <c r="AA89" s="33">
        <f>IF(условия!$Q$126=0,0,(AA21/условия!$Q$126)*SUMIFS(условия!$128:$128,условия!$8:$8,"&lt;="&amp;AA$9,условия!$9:$9,"&gt;="&amp;AA$9)/1000)</f>
        <v>5.4</v>
      </c>
      <c r="AB89" s="33">
        <f>IF(условия!$Q$126=0,0,(AB21/условия!$Q$126)*SUMIFS(условия!$128:$128,условия!$8:$8,"&lt;="&amp;AB$9,условия!$9:$9,"&gt;="&amp;AB$9)/1000)</f>
        <v>8.1000000000000014</v>
      </c>
      <c r="AC89" s="33">
        <f>IF(условия!$Q$126=0,0,(AC21/условия!$Q$126)*SUMIFS(условия!$128:$128,условия!$8:$8,"&lt;="&amp;AC$9,условия!$9:$9,"&gt;="&amp;AC$9)/1000)</f>
        <v>10.8</v>
      </c>
      <c r="AD89" s="33">
        <f>IF(условия!$Q$126=0,0,(AD21/условия!$Q$126)*SUMIFS(условия!$128:$128,условия!$8:$8,"&lt;="&amp;AD$9,условия!$9:$9,"&gt;="&amp;AD$9)/1000)</f>
        <v>13.5</v>
      </c>
      <c r="AE89" s="33">
        <f>IF(условия!$Q$126=0,0,(AE21/условия!$Q$126)*SUMIFS(условия!$128:$128,условия!$8:$8,"&lt;="&amp;AE$9,условия!$9:$9,"&gt;="&amp;AE$9)/1000)</f>
        <v>11.7</v>
      </c>
      <c r="AF89" s="33">
        <f>IF(условия!$Q$126=0,0,(AF21/условия!$Q$126)*SUMIFS(условия!$128:$128,условия!$8:$8,"&lt;="&amp;AF$9,условия!$9:$9,"&gt;="&amp;AF$9)/1000)</f>
        <v>21.772800000000004</v>
      </c>
      <c r="AG89" s="33">
        <f>IF(условия!$Q$126=0,0,(AG21/условия!$Q$126)*SUMIFS(условия!$128:$128,условия!$8:$8,"&lt;="&amp;AG$9,условия!$9:$9,"&gt;="&amp;AG$9)/1000)</f>
        <v>25.401600000000002</v>
      </c>
      <c r="AH89" s="33">
        <f>IF(условия!$Q$126=0,0,(AH21/условия!$Q$126)*SUMIFS(условия!$128:$128,условия!$8:$8,"&lt;="&amp;AH$9,условия!$9:$9,"&gt;="&amp;AH$9)/1000)</f>
        <v>29.030400000000004</v>
      </c>
      <c r="AI89" s="33">
        <f>IF(условия!$Q$126=0,0,(AI21/условия!$Q$126)*SUMIFS(условия!$128:$128,условия!$8:$8,"&lt;="&amp;AI$9,условия!$9:$9,"&gt;="&amp;AI$9)/1000)</f>
        <v>29.030400000000004</v>
      </c>
      <c r="AJ89" s="33">
        <f>IF(условия!$Q$126=0,0,(AJ21/условия!$Q$126)*SUMIFS(условия!$128:$128,условия!$8:$8,"&lt;="&amp;AJ$9,условия!$9:$9,"&gt;="&amp;AJ$9)/1000)</f>
        <v>21.772800000000004</v>
      </c>
      <c r="AK89" s="33">
        <f>IF(условия!$Q$126=0,0,(AK21/условия!$Q$126)*SUMIFS(условия!$128:$128,условия!$8:$8,"&lt;="&amp;AK$9,условия!$9:$9,"&gt;="&amp;AK$9)/1000)</f>
        <v>18.144000000000002</v>
      </c>
      <c r="AL89" s="33">
        <f>IF(условия!$Q$126=0,0,(AL21/условия!$Q$126)*SUMIFS(условия!$128:$128,условия!$8:$8,"&lt;="&amp;AL$9,условия!$9:$9,"&gt;="&amp;AL$9)/1000)</f>
        <v>18.144000000000002</v>
      </c>
      <c r="AM89" s="33">
        <f>IF(условия!$Q$126=0,0,(AM21/условия!$Q$126)*SUMIFS(условия!$128:$128,условия!$8:$8,"&lt;="&amp;AM$9,условия!$9:$9,"&gt;="&amp;AM$9)/1000)</f>
        <v>21.772800000000004</v>
      </c>
      <c r="AN89" s="33">
        <f>IF(условия!$Q$126=0,0,(AN21/условия!$Q$126)*SUMIFS(условия!$128:$128,условия!$8:$8,"&lt;="&amp;AN$9,условия!$9:$9,"&gt;="&amp;AN$9)/1000)</f>
        <v>32.659200000000006</v>
      </c>
      <c r="AO89" s="33">
        <f>IF(условия!$Q$126=0,0,(AO21/условия!$Q$126)*SUMIFS(условия!$128:$128,условия!$8:$8,"&lt;="&amp;AO$9,условия!$9:$9,"&gt;="&amp;AO$9)/1000)</f>
        <v>43.545600000000007</v>
      </c>
      <c r="AP89" s="33">
        <f>IF(условия!$Q$126=0,0,(AP21/условия!$Q$126)*SUMIFS(условия!$128:$128,условия!$8:$8,"&lt;="&amp;AP$9,условия!$9:$9,"&gt;="&amp;AP$9)/1000)</f>
        <v>54.432000000000009</v>
      </c>
      <c r="AQ89" s="33">
        <f>IF(условия!$Q$126=0,0,(AQ21/условия!$Q$126)*SUMIFS(условия!$128:$128,условия!$8:$8,"&lt;="&amp;AQ$9,условия!$9:$9,"&gt;="&amp;AQ$9)/1000)</f>
        <v>47.174399999999999</v>
      </c>
      <c r="AR89" s="33">
        <f>IF(условия!$Q$126=0,0,(AR21/условия!$Q$126)*SUMIFS(условия!$128:$128,условия!$8:$8,"&lt;="&amp;AR$9,условия!$9:$9,"&gt;="&amp;AR$9)/1000)</f>
        <v>63.221760000000017</v>
      </c>
      <c r="AS89" s="33">
        <f>IF(условия!$Q$126=0,0,(AS21/условия!$Q$126)*SUMIFS(условия!$128:$128,условия!$8:$8,"&lt;="&amp;AS$9,условия!$9:$9,"&gt;="&amp;AS$9)/1000)</f>
        <v>73.758720000000011</v>
      </c>
      <c r="AT89" s="33">
        <f>IF(условия!$Q$126=0,0,(AT21/условия!$Q$126)*SUMIFS(условия!$128:$128,условия!$8:$8,"&lt;="&amp;AT$9,условия!$9:$9,"&gt;="&amp;AT$9)/1000)</f>
        <v>84.295680000000004</v>
      </c>
      <c r="AU89" s="33">
        <f>IF(условия!$Q$126=0,0,(AU21/условия!$Q$126)*SUMIFS(условия!$128:$128,условия!$8:$8,"&lt;="&amp;AU$9,условия!$9:$9,"&gt;="&amp;AU$9)/1000)</f>
        <v>84.295680000000004</v>
      </c>
      <c r="AV89" s="33">
        <f>IF(условия!$Q$126=0,0,(AV21/условия!$Q$126)*SUMIFS(условия!$128:$128,условия!$8:$8,"&lt;="&amp;AV$9,условия!$9:$9,"&gt;="&amp;AV$9)/1000)</f>
        <v>63.221760000000017</v>
      </c>
      <c r="AW89" s="33">
        <f>IF(условия!$Q$126=0,0,(AW21/условия!$Q$126)*SUMIFS(условия!$128:$128,условия!$8:$8,"&lt;="&amp;AW$9,условия!$9:$9,"&gt;="&amp;AW$9)/1000)</f>
        <v>52.68480000000001</v>
      </c>
      <c r="AX89" s="33">
        <f>IF(условия!$Q$126=0,0,(AX21/условия!$Q$126)*SUMIFS(условия!$128:$128,условия!$8:$8,"&lt;="&amp;AX$9,условия!$9:$9,"&gt;="&amp;AX$9)/1000)</f>
        <v>52.68480000000001</v>
      </c>
      <c r="AY89" s="33">
        <f>IF(условия!$Q$126=0,0,(AY21/условия!$Q$126)*SUMIFS(условия!$128:$128,условия!$8:$8,"&lt;="&amp;AY$9,условия!$9:$9,"&gt;="&amp;AY$9)/1000)</f>
        <v>63.221760000000017</v>
      </c>
      <c r="AZ89" s="33">
        <f>IF(условия!$Q$126=0,0,(AZ21/условия!$Q$126)*SUMIFS(условия!$128:$128,условия!$8:$8,"&lt;="&amp;AZ$9,условия!$9:$9,"&gt;="&amp;AZ$9)/1000)</f>
        <v>94.832640000000012</v>
      </c>
      <c r="BA89" s="33">
        <f>IF(условия!$Q$126=0,0,(BA21/условия!$Q$126)*SUMIFS(условия!$128:$128,условия!$8:$8,"&lt;="&amp;BA$9,условия!$9:$9,"&gt;="&amp;BA$9)/1000)</f>
        <v>126.44352000000003</v>
      </c>
      <c r="BB89" s="33">
        <f>IF(условия!$Q$126=0,0,(BB21/условия!$Q$126)*SUMIFS(условия!$128:$128,условия!$8:$8,"&lt;="&amp;BB$9,условия!$9:$9,"&gt;="&amp;BB$9)/1000)</f>
        <v>158.05440000000002</v>
      </c>
      <c r="BC89" s="33">
        <f>IF(условия!$Q$126=0,0,(BC21/условия!$Q$126)*SUMIFS(условия!$128:$128,условия!$8:$8,"&lt;="&amp;BC$9,условия!$9:$9,"&gt;="&amp;BC$9)/1000)</f>
        <v>136.98048</v>
      </c>
      <c r="BD89" s="33">
        <f>IF(условия!$Q$126=0,0,(BD21/условия!$Q$126)*SUMIFS(условия!$128:$128,условия!$8:$8,"&lt;="&amp;BD$9,условия!$9:$9,"&gt;="&amp;BD$9)/1000)</f>
        <v>130.39488000000009</v>
      </c>
      <c r="BE89" s="33">
        <f>IF(условия!$Q$126=0,0,(BE21/условия!$Q$126)*SUMIFS(условия!$128:$128,условия!$8:$8,"&lt;="&amp;BE$9,условия!$9:$9,"&gt;="&amp;BE$9)/1000)</f>
        <v>152.1273600000001</v>
      </c>
      <c r="BF89" s="33">
        <f>IF(условия!$Q$126=0,0,(BF21/условия!$Q$126)*SUMIFS(условия!$128:$128,условия!$8:$8,"&lt;="&amp;BF$9,условия!$9:$9,"&gt;="&amp;BF$9)/1000)</f>
        <v>173.85984000000008</v>
      </c>
      <c r="BG89" s="33">
        <f>IF(условия!$Q$126=0,0,(BG21/условия!$Q$126)*SUMIFS(условия!$128:$128,условия!$8:$8,"&lt;="&amp;BG$9,условия!$9:$9,"&gt;="&amp;BG$9)/1000)</f>
        <v>173.85984000000008</v>
      </c>
      <c r="BH89" s="33">
        <f>IF(условия!$Q$126=0,0,(BH21/условия!$Q$126)*SUMIFS(условия!$128:$128,условия!$8:$8,"&lt;="&amp;BH$9,условия!$9:$9,"&gt;="&amp;BH$9)/1000)</f>
        <v>130.39488000000009</v>
      </c>
      <c r="BI89" s="33">
        <f>IF(условия!$Q$126=0,0,(BI21/условия!$Q$126)*SUMIFS(условия!$128:$128,условия!$8:$8,"&lt;="&amp;BI$9,условия!$9:$9,"&gt;="&amp;BI$9)/1000)</f>
        <v>108.66240000000006</v>
      </c>
      <c r="BJ89" s="33">
        <f>IF(условия!$Q$126=0,0,(BJ21/условия!$Q$126)*SUMIFS(условия!$128:$128,условия!$8:$8,"&lt;="&amp;BJ$9,условия!$9:$9,"&gt;="&amp;BJ$9)/1000)</f>
        <v>108.66240000000006</v>
      </c>
      <c r="BK89" s="33">
        <f>IF(условия!$Q$126=0,0,(BK21/условия!$Q$126)*SUMIFS(условия!$128:$128,условия!$8:$8,"&lt;="&amp;BK$9,условия!$9:$9,"&gt;="&amp;BK$9)/1000)</f>
        <v>130.39488000000009</v>
      </c>
      <c r="BL89" s="33">
        <f>IF(условия!$Q$126=0,0,(BL21/условия!$Q$126)*SUMIFS(условия!$128:$128,условия!$8:$8,"&lt;="&amp;BL$9,условия!$9:$9,"&gt;="&amp;BL$9)/1000)</f>
        <v>195.59232000000009</v>
      </c>
      <c r="BM89" s="33">
        <f>IF(условия!$Q$126=0,0,(BM21/условия!$Q$126)*SUMIFS(условия!$128:$128,условия!$8:$8,"&lt;="&amp;BM$9,условия!$9:$9,"&gt;="&amp;BM$9)/1000)</f>
        <v>260.78976000000017</v>
      </c>
      <c r="BN89" s="33">
        <f>IF(условия!$Q$126=0,0,(BN21/условия!$Q$126)*SUMIFS(условия!$128:$128,условия!$8:$8,"&lt;="&amp;BN$9,условия!$9:$9,"&gt;="&amp;BN$9)/1000)</f>
        <v>325.9872000000002</v>
      </c>
      <c r="BO89" s="33">
        <f>IF(условия!$Q$126=0,0,(BO21/условия!$Q$126)*SUMIFS(условия!$128:$128,условия!$8:$8,"&lt;="&amp;BO$9,условия!$9:$9,"&gt;="&amp;BO$9)/1000)</f>
        <v>282.52224000000018</v>
      </c>
      <c r="BP89" s="33">
        <f>IF(условия!$Q$126=0,0,(BP21/условия!$Q$126)*SUMIFS(условия!$128:$128,условия!$8:$8,"&lt;="&amp;BP$9,условия!$9:$9,"&gt;="&amp;BP$9)/1000)</f>
        <v>262.27998720000011</v>
      </c>
      <c r="BQ89" s="33">
        <f>IF(условия!$Q$126=0,0,(BQ21/условия!$Q$126)*SUMIFS(условия!$128:$128,условия!$8:$8,"&lt;="&amp;BQ$9,условия!$9:$9,"&gt;="&amp;BQ$9)/1000)</f>
        <v>305.99331840000019</v>
      </c>
      <c r="BR89" s="33">
        <f>IF(условия!$Q$126=0,0,(BR21/условия!$Q$126)*SUMIFS(условия!$128:$128,условия!$8:$8,"&lt;="&amp;BR$9,условия!$9:$9,"&gt;="&amp;BR$9)/1000)</f>
        <v>349.70664960000011</v>
      </c>
      <c r="BS89" s="33">
        <f>IF(условия!$Q$126=0,0,(BS21/условия!$Q$126)*SUMIFS(условия!$128:$128,условия!$8:$8,"&lt;="&amp;BS$9,условия!$9:$9,"&gt;="&amp;BS$9)/1000)</f>
        <v>349.70664960000011</v>
      </c>
      <c r="BT89" s="33">
        <f>IF(условия!$Q$126=0,0,(BT21/условия!$Q$126)*SUMIFS(условия!$128:$128,условия!$8:$8,"&lt;="&amp;BT$9,условия!$9:$9,"&gt;="&amp;BT$9)/1000)</f>
        <v>262.27998720000011</v>
      </c>
      <c r="BU89" s="33">
        <f>IF(условия!$Q$126=0,0,(BU21/условия!$Q$126)*SUMIFS(условия!$128:$128,условия!$8:$8,"&lt;="&amp;BU$9,условия!$9:$9,"&gt;="&amp;BU$9)/1000)</f>
        <v>218.56665600000008</v>
      </c>
      <c r="BV89" s="33">
        <f>IF(условия!$Q$126=0,0,(BV21/условия!$Q$126)*SUMIFS(условия!$128:$128,условия!$8:$8,"&lt;="&amp;BV$9,условия!$9:$9,"&gt;="&amp;BV$9)/1000)</f>
        <v>218.56665600000008</v>
      </c>
      <c r="BW89" s="33">
        <f>IF(условия!$Q$126=0,0,(BW21/условия!$Q$126)*SUMIFS(условия!$128:$128,условия!$8:$8,"&lt;="&amp;BW$9,условия!$9:$9,"&gt;="&amp;BW$9)/1000)</f>
        <v>262.27998720000011</v>
      </c>
      <c r="BX89" s="33">
        <f>IF(условия!$Q$126=0,0,(BX21/условия!$Q$126)*SUMIFS(условия!$128:$128,условия!$8:$8,"&lt;="&amp;BX$9,условия!$9:$9,"&gt;="&amp;BX$9)/1000)</f>
        <v>393.41998080000013</v>
      </c>
      <c r="BY89" s="33">
        <f>IF(условия!$Q$126=0,0,(BY21/условия!$Q$126)*SUMIFS(условия!$128:$128,условия!$8:$8,"&lt;="&amp;BY$9,условия!$9:$9,"&gt;="&amp;BY$9)/1000)</f>
        <v>524.55997440000021</v>
      </c>
      <c r="BZ89" s="33">
        <f>IF(условия!$Q$126=0,0,(BZ21/условия!$Q$126)*SUMIFS(условия!$128:$128,условия!$8:$8,"&lt;="&amp;BZ$9,условия!$9:$9,"&gt;="&amp;BZ$9)/1000)</f>
        <v>655.69996800000024</v>
      </c>
      <c r="CA89" s="33">
        <f>IF(условия!$Q$126=0,0,(CA21/условия!$Q$126)*SUMIFS(условия!$128:$128,условия!$8:$8,"&lt;="&amp;CA$9,условия!$9:$9,"&gt;="&amp;CA$9)/1000)</f>
        <v>568.27330560000019</v>
      </c>
      <c r="CB89" s="33">
        <f>IF(условия!$Q$126=0,0,(CB21/условия!$Q$126)*SUMIFS(условия!$128:$128,условия!$8:$8,"&lt;="&amp;CB$9,условия!$9:$9,"&gt;="&amp;CB$9)/1000)</f>
        <v>367.84768204800008</v>
      </c>
      <c r="CC89" s="33">
        <f>IF(условия!$Q$126=0,0,(CC21/условия!$Q$126)*SUMIFS(условия!$128:$128,условия!$8:$8,"&lt;="&amp;CC$9,условия!$9:$9,"&gt;="&amp;CC$9)/1000)</f>
        <v>429.15562905600024</v>
      </c>
      <c r="CD89" s="33">
        <f>IF(условия!$Q$126=0,0,(CD21/условия!$Q$126)*SUMIFS(условия!$128:$128,условия!$8:$8,"&lt;="&amp;CD$9,условия!$9:$9,"&gt;="&amp;CD$9)/1000)</f>
        <v>490.46357606400022</v>
      </c>
      <c r="CE89" s="33">
        <f>IF(условия!$Q$126=0,0,(CE21/условия!$Q$126)*SUMIFS(условия!$128:$128,условия!$8:$8,"&lt;="&amp;CE$9,условия!$9:$9,"&gt;="&amp;CE$9)/1000)</f>
        <v>490.46357606400022</v>
      </c>
      <c r="CF89" s="33">
        <f>IF(условия!$Q$126=0,0,(CF21/условия!$Q$126)*SUMIFS(условия!$128:$128,условия!$8:$8,"&lt;="&amp;CF$9,условия!$9:$9,"&gt;="&amp;CF$9)/1000)</f>
        <v>367.84768204800008</v>
      </c>
      <c r="CG89" s="33">
        <f>IF(условия!$Q$126=0,0,(CG21/условия!$Q$126)*SUMIFS(условия!$128:$128,условия!$8:$8,"&lt;="&amp;CG$9,условия!$9:$9,"&gt;="&amp;CG$9)/1000)</f>
        <v>306.5397350400001</v>
      </c>
      <c r="CH89" s="33">
        <f>IF(условия!$Q$126=0,0,(CH21/условия!$Q$126)*SUMIFS(условия!$128:$128,условия!$8:$8,"&lt;="&amp;CH$9,условия!$9:$9,"&gt;="&amp;CH$9)/1000)</f>
        <v>306.5397350400001</v>
      </c>
      <c r="CI89" s="33">
        <f>IF(условия!$Q$126=0,0,(CI21/условия!$Q$126)*SUMIFS(условия!$128:$128,условия!$8:$8,"&lt;="&amp;CI$9,условия!$9:$9,"&gt;="&amp;CI$9)/1000)</f>
        <v>367.84768204800008</v>
      </c>
      <c r="CJ89" s="33">
        <f>IF(условия!$Q$126=0,0,(CJ21/условия!$Q$126)*SUMIFS(условия!$128:$128,условия!$8:$8,"&lt;="&amp;CJ$9,условия!$9:$9,"&gt;="&amp;CJ$9)/1000)</f>
        <v>551.77152307200015</v>
      </c>
      <c r="CK89" s="33">
        <f>IF(условия!$Q$126=0,0,(CK21/условия!$Q$126)*SUMIFS(условия!$128:$128,условия!$8:$8,"&lt;="&amp;CK$9,условия!$9:$9,"&gt;="&amp;CK$9)/1000)</f>
        <v>735.69536409600016</v>
      </c>
      <c r="CL89" s="33">
        <f>IF(условия!$Q$126=0,0,(CL21/условия!$Q$126)*SUMIFS(условия!$128:$128,условия!$8:$8,"&lt;="&amp;CL$9,условия!$9:$9,"&gt;="&amp;CL$9)/1000)</f>
        <v>919.61920512000029</v>
      </c>
      <c r="CM89" s="33">
        <f>IF(условия!$Q$126=0,0,(CM21/условия!$Q$126)*SUMIFS(условия!$128:$128,условия!$8:$8,"&lt;="&amp;CM$9,условия!$9:$9,"&gt;="&amp;CM$9)/1000)</f>
        <v>797.00331110400032</v>
      </c>
      <c r="CN89" s="33">
        <f>IF(условия!$Q$126=0,0,(CN21/условия!$Q$126)*SUMIFS(условия!$128:$128,условия!$8:$8,"&lt;="&amp;CN$9,условия!$9:$9,"&gt;="&amp;CN$9)/1000)</f>
        <v>499.84008560640029</v>
      </c>
      <c r="CO89" s="33">
        <f>IF(условия!$Q$126=0,0,(CO21/условия!$Q$126)*SUMIFS(условия!$128:$128,условия!$8:$8,"&lt;="&amp;CO$9,условия!$9:$9,"&gt;="&amp;CO$9)/1000)</f>
        <v>583.14676654080029</v>
      </c>
      <c r="CP89" s="33">
        <f>IF(условия!$Q$126=0,0,(CP21/условия!$Q$126)*SUMIFS(условия!$128:$128,условия!$8:$8,"&lt;="&amp;CP$9,условия!$9:$9,"&gt;="&amp;CP$9)/1000)</f>
        <v>666.45344747520039</v>
      </c>
      <c r="CQ89" s="33">
        <f>IF(условия!$Q$126=0,0,(CQ21/условия!$Q$126)*SUMIFS(условия!$128:$128,условия!$8:$8,"&lt;="&amp;CQ$9,условия!$9:$9,"&gt;="&amp;CQ$9)/1000)</f>
        <v>666.45344747520039</v>
      </c>
      <c r="CR89" s="33">
        <f>IF(условия!$Q$126=0,0,(CR21/условия!$Q$126)*SUMIFS(условия!$128:$128,условия!$8:$8,"&lt;="&amp;CR$9,условия!$9:$9,"&gt;="&amp;CR$9)/1000)</f>
        <v>499.84008560640029</v>
      </c>
      <c r="CS89" s="33">
        <f>IF(условия!$Q$126=0,0,(CS21/условия!$Q$126)*SUMIFS(условия!$128:$128,условия!$8:$8,"&lt;="&amp;CS$9,условия!$9:$9,"&gt;="&amp;CS$9)/1000)</f>
        <v>416.53340467200019</v>
      </c>
      <c r="CT89" s="33">
        <f>IF(условия!$Q$126=0,0,(CT21/условия!$Q$126)*SUMIFS(условия!$128:$128,условия!$8:$8,"&lt;="&amp;CT$9,условия!$9:$9,"&gt;="&amp;CT$9)/1000)</f>
        <v>416.53340467200019</v>
      </c>
      <c r="CU89" s="33">
        <f>IF(условия!$Q$126=0,0,(CU21/условия!$Q$126)*SUMIFS(условия!$128:$128,условия!$8:$8,"&lt;="&amp;CU$9,условия!$9:$9,"&gt;="&amp;CU$9)/1000)</f>
        <v>499.84008560640029</v>
      </c>
      <c r="CV89" s="33">
        <f>IF(условия!$Q$126=0,0,(CV21/условия!$Q$126)*SUMIFS(условия!$128:$128,условия!$8:$8,"&lt;="&amp;CV$9,условия!$9:$9,"&gt;="&amp;CV$9)/1000)</f>
        <v>749.76012840960038</v>
      </c>
      <c r="CW89" s="33">
        <f>IF(условия!$Q$126=0,0,(CW21/условия!$Q$126)*SUMIFS(условия!$128:$128,условия!$8:$8,"&lt;="&amp;CW$9,условия!$9:$9,"&gt;="&amp;CW$9)/1000)</f>
        <v>999.68017121280059</v>
      </c>
      <c r="CX89" s="33">
        <f>IF(условия!$Q$126=0,0,(CX21/условия!$Q$126)*SUMIFS(условия!$128:$128,условия!$8:$8,"&lt;="&amp;CX$9,условия!$9:$9,"&gt;="&amp;CX$9)/1000)</f>
        <v>1249.6002140160006</v>
      </c>
      <c r="CY89" s="33">
        <f>IF(условия!$Q$126=0,0,(CY21/условия!$Q$126)*SUMIFS(условия!$128:$128,условия!$8:$8,"&lt;="&amp;CY$9,условия!$9:$9,"&gt;="&amp;CY$9)/1000)</f>
        <v>1082.9868521472006</v>
      </c>
      <c r="CZ89" s="33">
        <f>IF(условия!$Q$126=0,0,(CZ21/условия!$Q$126)*SUMIFS(условия!$128:$128,условия!$8:$8,"&lt;="&amp;CZ$9,условия!$9:$9,"&gt;="&amp;CZ$9)/1000)</f>
        <v>605.36188145664028</v>
      </c>
      <c r="DA89" s="33">
        <f>IF(условия!$Q$126=0,0,(DA21/условия!$Q$126)*SUMIFS(условия!$128:$128,условия!$8:$8,"&lt;="&amp;DA$9,условия!$9:$9,"&gt;="&amp;DA$9)/1000)</f>
        <v>706.25552836608028</v>
      </c>
      <c r="DB89" s="33">
        <f>IF(условия!$Q$126=0,0,(DB21/условия!$Q$126)*SUMIFS(условия!$128:$128,условия!$8:$8,"&lt;="&amp;DB$9,условия!$9:$9,"&gt;="&amp;DB$9)/1000)</f>
        <v>807.14917527552041</v>
      </c>
      <c r="DC89" s="33">
        <f>IF(условия!$Q$126=0,0,(DC21/условия!$Q$126)*SUMIFS(условия!$128:$128,условия!$8:$8,"&lt;="&amp;DC$9,условия!$9:$9,"&gt;="&amp;DC$9)/1000)</f>
        <v>807.14917527552041</v>
      </c>
      <c r="DD89" s="33">
        <f>IF(условия!$Q$126=0,0,(DD21/условия!$Q$126)*SUMIFS(условия!$128:$128,условия!$8:$8,"&lt;="&amp;DD$9,условия!$9:$9,"&gt;="&amp;DD$9)/1000)</f>
        <v>605.36188145664028</v>
      </c>
      <c r="DE89" s="33">
        <f>IF(условия!$Q$126=0,0,(DE21/условия!$Q$126)*SUMIFS(условия!$128:$128,условия!$8:$8,"&lt;="&amp;DE$9,условия!$9:$9,"&gt;="&amp;DE$9)/1000)</f>
        <v>504.46823454720027</v>
      </c>
      <c r="DF89" s="33">
        <f>IF(условия!$Q$126=0,0,(DF21/условия!$Q$126)*SUMIFS(условия!$128:$128,условия!$8:$8,"&lt;="&amp;DF$9,условия!$9:$9,"&gt;="&amp;DF$9)/1000)</f>
        <v>504.46823454720027</v>
      </c>
      <c r="DG89" s="33">
        <f>IF(условия!$Q$126=0,0,(DG21/условия!$Q$126)*SUMIFS(условия!$128:$128,условия!$8:$8,"&lt;="&amp;DG$9,условия!$9:$9,"&gt;="&amp;DG$9)/1000)</f>
        <v>605.36188145664028</v>
      </c>
      <c r="DH89" s="33">
        <f>IF(условия!$Q$126=0,0,(DH21/условия!$Q$126)*SUMIFS(условия!$128:$128,условия!$8:$8,"&lt;="&amp;DH$9,условия!$9:$9,"&gt;="&amp;DH$9)/1000)</f>
        <v>908.04282218496041</v>
      </c>
      <c r="DI89" s="33">
        <f>IF(условия!$Q$126=0,0,(DI21/условия!$Q$126)*SUMIFS(условия!$128:$128,условия!$8:$8,"&lt;="&amp;DI$9,условия!$9:$9,"&gt;="&amp;DI$9)/1000)</f>
        <v>1210.7237629132806</v>
      </c>
      <c r="DJ89" s="33">
        <f>IF(условия!$Q$126=0,0,(DJ21/условия!$Q$126)*SUMIFS(условия!$128:$128,условия!$8:$8,"&lt;="&amp;DJ$9,условия!$9:$9,"&gt;="&amp;DJ$9)/1000)</f>
        <v>1513.4047036416007</v>
      </c>
      <c r="DK89" s="33">
        <f>IF(условия!$Q$126=0,0,(DK21/условия!$Q$126)*SUMIFS(условия!$128:$128,условия!$8:$8,"&lt;="&amp;DK$9,условия!$9:$9,"&gt;="&amp;DK$9)/1000)</f>
        <v>1311.6174098227207</v>
      </c>
      <c r="DL89" s="33">
        <f>IF(условия!$Q$126=0,0,(DL21/условия!$Q$126)*SUMIFS(условия!$128:$128,условия!$8:$8,"&lt;="&amp;DL$9,условия!$9:$9,"&gt;="&amp;DL$9)/1000)</f>
        <v>706.97619727257643</v>
      </c>
      <c r="DM89" s="33">
        <f>IF(условия!$Q$126=0,0,(DM21/условия!$Q$126)*SUMIFS(условия!$128:$128,условия!$8:$8,"&lt;="&amp;DM$9,условия!$9:$9,"&gt;="&amp;DM$9)/1000)</f>
        <v>824.80556348467269</v>
      </c>
      <c r="DN89" s="33">
        <f>IF(условия!$Q$126=0,0,(DN21/условия!$Q$126)*SUMIFS(условия!$128:$128,условия!$8:$8,"&lt;="&amp;DN$9,условия!$9:$9,"&gt;="&amp;DN$9)/1000)</f>
        <v>942.63492969676849</v>
      </c>
      <c r="DO89" s="33">
        <f>IF(условия!$Q$126=0,0,(DO21/условия!$Q$126)*SUMIFS(условия!$128:$128,условия!$8:$8,"&lt;="&amp;DO$9,условия!$9:$9,"&gt;="&amp;DO$9)/1000)</f>
        <v>942.63492969676849</v>
      </c>
      <c r="DP89" s="33">
        <f>IF(условия!$Q$126=0,0,(DP21/условия!$Q$126)*SUMIFS(условия!$128:$128,условия!$8:$8,"&lt;="&amp;DP$9,условия!$9:$9,"&gt;="&amp;DP$9)/1000)</f>
        <v>706.97619727257643</v>
      </c>
      <c r="DQ89" s="33">
        <f>IF(условия!$Q$126=0,0,(DQ21/условия!$Q$126)*SUMIFS(условия!$128:$128,условия!$8:$8,"&lt;="&amp;DQ$9,условия!$9:$9,"&gt;="&amp;DQ$9)/1000)</f>
        <v>589.14683106048028</v>
      </c>
      <c r="DR89" s="33">
        <f>IF(условия!$Q$126=0,0,(DR21/условия!$Q$126)*SUMIFS(условия!$128:$128,условия!$8:$8,"&lt;="&amp;DR$9,условия!$9:$9,"&gt;="&amp;DR$9)/1000)</f>
        <v>589.14683106048028</v>
      </c>
      <c r="DS89" s="33">
        <f>IF(условия!$Q$126=0,0,(DS21/условия!$Q$126)*SUMIFS(условия!$128:$128,условия!$8:$8,"&lt;="&amp;DS$9,условия!$9:$9,"&gt;="&amp;DS$9)/1000)</f>
        <v>706.97619727257643</v>
      </c>
      <c r="DT89" s="33">
        <f>IF(условия!$Q$126=0,0,(DT21/условия!$Q$126)*SUMIFS(условия!$128:$128,условия!$8:$8,"&lt;="&amp;DT$9,условия!$9:$9,"&gt;="&amp;DT$9)/1000)</f>
        <v>1060.4642959088646</v>
      </c>
      <c r="DU89" s="33">
        <f>IF(условия!$Q$126=0,0,(DU21/условия!$Q$126)*SUMIFS(условия!$128:$128,условия!$8:$8,"&lt;="&amp;DU$9,условия!$9:$9,"&gt;="&amp;DU$9)/1000)</f>
        <v>1413.9523945451529</v>
      </c>
      <c r="DV89" s="33">
        <f>IF(условия!$Q$126=0,0,(DV21/условия!$Q$126)*SUMIFS(условия!$128:$128,условия!$8:$8,"&lt;="&amp;DV$9,условия!$9:$9,"&gt;="&amp;DV$9)/1000)</f>
        <v>1767.4404931814411</v>
      </c>
      <c r="DW89" s="33">
        <f>IF(условия!$Q$126=0,0,(DW21/условия!$Q$126)*SUMIFS(условия!$128:$128,условия!$8:$8,"&lt;="&amp;DW$9,условия!$9:$9,"&gt;="&amp;DW$9)/1000)</f>
        <v>1531.7817607572488</v>
      </c>
      <c r="DX89" s="33">
        <f>IF(условия!$Q$126=0,0,(DX21/условия!$Q$126)*SUMIFS(условия!$128:$128,условия!$8:$8,"&lt;="&amp;DX$9,условия!$9:$9,"&gt;="&amp;DX$9)/1000)</f>
        <v>763.5342930543826</v>
      </c>
      <c r="DY89" s="33">
        <f>IF(условия!$Q$126=0,0,(DY21/условия!$Q$126)*SUMIFS(условия!$128:$128,условия!$8:$8,"&lt;="&amp;DY$9,условия!$9:$9,"&gt;="&amp;DY$9)/1000)</f>
        <v>890.79000856344646</v>
      </c>
      <c r="DZ89" s="33">
        <f>IF(условия!$Q$126=0,0,(DZ21/условия!$Q$126)*SUMIFS(условия!$128:$128,условия!$8:$8,"&lt;="&amp;DZ$9,условия!$9:$9,"&gt;="&amp;DZ$9)/1000)</f>
        <v>1018.04572407251</v>
      </c>
      <c r="EA89" s="33">
        <f>IF(условия!$Q$126=0,0,(EA21/условия!$Q$126)*SUMIFS(условия!$128:$128,условия!$8:$8,"&lt;="&amp;EA$9,условия!$9:$9,"&gt;="&amp;EA$9)/1000)</f>
        <v>1018.04572407251</v>
      </c>
      <c r="EB89" s="33">
        <f>IF(условия!$Q$126=0,0,(EB21/условия!$Q$126)*SUMIFS(условия!$128:$128,условия!$8:$8,"&lt;="&amp;EB$9,условия!$9:$9,"&gt;="&amp;EB$9)/1000)</f>
        <v>763.5342930543826</v>
      </c>
      <c r="EC89" s="33">
        <f>IF(условия!$Q$126=0,0,(EC21/условия!$Q$126)*SUMIFS(условия!$128:$128,условия!$8:$8,"&lt;="&amp;EC$9,условия!$9:$9,"&gt;="&amp;EC$9)/1000)</f>
        <v>636.27857754531874</v>
      </c>
      <c r="ED89" s="33">
        <f>IF(условия!$Q$126=0,0,(ED21/условия!$Q$126)*SUMIFS(условия!$128:$128,условия!$8:$8,"&lt;="&amp;ED$9,условия!$9:$9,"&gt;="&amp;ED$9)/1000)</f>
        <v>636.27857754531874</v>
      </c>
      <c r="EE89" s="33">
        <f>IF(условия!$Q$126=0,0,(EE21/условия!$Q$126)*SUMIFS(условия!$128:$128,условия!$8:$8,"&lt;="&amp;EE$9,условия!$9:$9,"&gt;="&amp;EE$9)/1000)</f>
        <v>763.5342930543826</v>
      </c>
      <c r="EF89" s="33">
        <f>IF(условия!$Q$126=0,0,(EF21/условия!$Q$126)*SUMIFS(условия!$128:$128,условия!$8:$8,"&lt;="&amp;EF$9,условия!$9:$9,"&gt;="&amp;EF$9)/1000)</f>
        <v>1145.3014395815737</v>
      </c>
      <c r="EG89" s="33">
        <f>IF(условия!$Q$126=0,0,(EG21/условия!$Q$126)*SUMIFS(условия!$128:$128,условия!$8:$8,"&lt;="&amp;EG$9,условия!$9:$9,"&gt;="&amp;EG$9)/1000)</f>
        <v>1527.0685861087652</v>
      </c>
      <c r="EH89" s="33">
        <f>IF(условия!$Q$126=0,0,(EH21/условия!$Q$126)*SUMIFS(условия!$128:$128,условия!$8:$8,"&lt;="&amp;EH$9,условия!$9:$9,"&gt;="&amp;EH$9)/1000)</f>
        <v>1908.8357326359562</v>
      </c>
      <c r="EI89" s="33">
        <f>IF(условия!$Q$126=0,0,(EI21/условия!$Q$126)*SUMIFS(условия!$128:$128,условия!$8:$8,"&lt;="&amp;EI$9,условия!$9:$9,"&gt;="&amp;EI$9)/1000)</f>
        <v>1654.324301617829</v>
      </c>
      <c r="EJ89" s="3"/>
      <c r="EK89" s="3"/>
    </row>
    <row r="90" spans="1:1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</row>
    <row r="91" spans="1:141" x14ac:dyDescent="0.25">
      <c r="A91" s="3"/>
      <c r="B91" s="3"/>
      <c r="C91" s="3"/>
      <c r="D91" s="3"/>
      <c r="E91" s="3"/>
      <c r="F91" s="10" t="str">
        <f>KPI!$F$84</f>
        <v>Маркетинговые расходы</v>
      </c>
      <c r="G91" s="3"/>
      <c r="H91" s="3"/>
      <c r="I91" s="3"/>
      <c r="J91" s="5" t="str">
        <f>IF($F91="","",INDEX(KPI!$I$11:$I$275,SUMIFS(KPI!$E$11:$E$275,KPI!$F$11:$F$275,$F91)))</f>
        <v>тыс.руб.</v>
      </c>
      <c r="K91" s="3"/>
      <c r="L91" s="3"/>
      <c r="M91" s="3"/>
      <c r="N91" s="3"/>
      <c r="O91" s="3"/>
      <c r="P91" s="3"/>
      <c r="Q91" s="12">
        <f>SUM(S91:EJ91)</f>
        <v>298297.20166125608</v>
      </c>
      <c r="R91" s="3"/>
      <c r="S91" s="55"/>
      <c r="T91" s="33">
        <f>T45*SUMIFS(условия!$132:$132,условия!$8:$8,"&lt;="&amp;T$9,условия!$9:$9,"&gt;="&amp;T$9)</f>
        <v>0</v>
      </c>
      <c r="U91" s="33">
        <f>U45*SUMIFS(условия!$132:$132,условия!$8:$8,"&lt;="&amp;U$9,условия!$9:$9,"&gt;="&amp;U$9)</f>
        <v>0</v>
      </c>
      <c r="V91" s="33">
        <f>V45*SUMIFS(условия!$132:$132,условия!$8:$8,"&lt;="&amp;V$9,условия!$9:$9,"&gt;="&amp;V$9)</f>
        <v>0</v>
      </c>
      <c r="W91" s="33">
        <f>W45*SUMIFS(условия!$132:$132,условия!$8:$8,"&lt;="&amp;W$9,условия!$9:$9,"&gt;="&amp;W$9)</f>
        <v>0</v>
      </c>
      <c r="X91" s="33">
        <f>X45*SUMIFS(условия!$132:$132,условия!$8:$8,"&lt;="&amp;X$9,условия!$9:$9,"&gt;="&amp;X$9)</f>
        <v>52.991999999999997</v>
      </c>
      <c r="Y91" s="33">
        <f>Y45*SUMIFS(условия!$132:$132,условия!$8:$8,"&lt;="&amp;Y$9,условия!$9:$9,"&gt;="&amp;Y$9)</f>
        <v>44.056500000000007</v>
      </c>
      <c r="Z91" s="33">
        <f>Z45*SUMIFS(условия!$132:$132,условия!$8:$8,"&lt;="&amp;Z$9,условия!$9:$9,"&gt;="&amp;Z$9)</f>
        <v>44.315249999999999</v>
      </c>
      <c r="AA91" s="33">
        <f>AA45*SUMIFS(условия!$132:$132,условия!$8:$8,"&lt;="&amp;AA$9,условия!$9:$9,"&gt;="&amp;AA$9)</f>
        <v>53.488800000000005</v>
      </c>
      <c r="AB91" s="33">
        <f>AB45*SUMIFS(условия!$132:$132,условия!$8:$8,"&lt;="&amp;AB$9,условия!$9:$9,"&gt;="&amp;AB$9)</f>
        <v>81.164700000000011</v>
      </c>
      <c r="AC91" s="33">
        <f>AC45*SUMIFS(условия!$132:$132,условия!$8:$8,"&lt;="&amp;AC$9,условия!$9:$9,"&gt;="&amp;AC$9)</f>
        <v>110.70360000000001</v>
      </c>
      <c r="AD91" s="33">
        <f>AD45*SUMIFS(условия!$132:$132,условия!$8:$8,"&lt;="&amp;AD$9,условия!$9:$9,"&gt;="&amp;AD$9)</f>
        <v>141.4845</v>
      </c>
      <c r="AE91" s="33">
        <f>AE45*SUMIFS(условия!$132:$132,условия!$8:$8,"&lt;="&amp;AE$9,условия!$9:$9,"&gt;="&amp;AE$9)</f>
        <v>125.58</v>
      </c>
      <c r="AF91" s="33">
        <f>AF45*SUMIFS(условия!$132:$132,условия!$8:$8,"&lt;="&amp;AF$9,условия!$9:$9,"&gt;="&amp;AF$9)</f>
        <v>216.66839040000002</v>
      </c>
      <c r="AG91" s="33">
        <f>AG45*SUMIFS(условия!$132:$132,условия!$8:$8,"&lt;="&amp;AG$9,условия!$9:$9,"&gt;="&amp;AG$9)</f>
        <v>254.27848319999998</v>
      </c>
      <c r="AH91" s="33">
        <f>AH45*SUMIFS(условия!$132:$132,условия!$8:$8,"&lt;="&amp;AH$9,условия!$9:$9,"&gt;="&amp;AH$9)</f>
        <v>294.02956799999998</v>
      </c>
      <c r="AI91" s="33">
        <f>AI45*SUMIFS(условия!$132:$132,условия!$8:$8,"&lt;="&amp;AI$9,условия!$9:$9,"&gt;="&amp;AI$9)</f>
        <v>293.00189184000004</v>
      </c>
      <c r="AJ91" s="33">
        <f>AJ45*SUMIFS(условия!$132:$132,условия!$8:$8,"&lt;="&amp;AJ$9,условия!$9:$9,"&gt;="&amp;AJ$9)</f>
        <v>219.23758080000005</v>
      </c>
      <c r="AK91" s="33">
        <f>AK45*SUMIFS(условия!$132:$132,условия!$8:$8,"&lt;="&amp;AK$9,условия!$9:$9,"&gt;="&amp;AK$9)</f>
        <v>182.26978560000003</v>
      </c>
      <c r="AL91" s="33">
        <f>AL45*SUMIFS(условия!$132:$132,условия!$8:$8,"&lt;="&amp;AL$9,условия!$9:$9,"&gt;="&amp;AL$9)</f>
        <v>183.3402816</v>
      </c>
      <c r="AM91" s="33">
        <f>AM45*SUMIFS(условия!$132:$132,условия!$8:$8,"&lt;="&amp;AM$9,условия!$9:$9,"&gt;="&amp;AM$9)</f>
        <v>221.29293312000001</v>
      </c>
      <c r="AN91" s="33">
        <f>AN45*SUMIFS(условия!$132:$132,условия!$8:$8,"&lt;="&amp;AN$9,условия!$9:$9,"&gt;="&amp;AN$9)</f>
        <v>335.79318527999999</v>
      </c>
      <c r="AO91" s="33">
        <f>AO45*SUMIFS(условия!$132:$132,условия!$8:$8,"&lt;="&amp;AO$9,условия!$9:$9,"&gt;="&amp;AO$9)</f>
        <v>458.00100864000001</v>
      </c>
      <c r="AP91" s="33">
        <f>AP45*SUMIFS(условия!$132:$132,условия!$8:$8,"&lt;="&amp;AP$9,условия!$9:$9,"&gt;="&amp;AP$9)</f>
        <v>585.34721279999997</v>
      </c>
      <c r="AQ91" s="33">
        <f>AQ45*SUMIFS(условия!$132:$132,условия!$8:$8,"&lt;="&amp;AQ$9,условия!$9:$9,"&gt;="&amp;AQ$9)</f>
        <v>519.54739199999983</v>
      </c>
      <c r="AR91" s="33">
        <f>AR45*SUMIFS(условия!$132:$132,условия!$8:$8,"&lt;="&amp;AR$9,условия!$9:$9,"&gt;="&amp;AR$9)</f>
        <v>510.8318208</v>
      </c>
      <c r="AS91" s="33">
        <f>AS45*SUMIFS(условия!$132:$132,условия!$8:$8,"&lt;="&amp;AS$9,условия!$9:$9,"&gt;="&amp;AS$9)</f>
        <v>598.92080640000006</v>
      </c>
      <c r="AT91" s="33">
        <f>AT45*SUMIFS(условия!$132:$132,условия!$8:$8,"&lt;="&amp;AT$9,условия!$9:$9,"&gt;="&amp;AT$9)</f>
        <v>691.22457599999996</v>
      </c>
      <c r="AU91" s="33">
        <f>AU45*SUMIFS(условия!$132:$132,условия!$8:$8,"&lt;="&amp;AU$9,условия!$9:$9,"&gt;="&amp;AU$9)</f>
        <v>689.20147968000003</v>
      </c>
      <c r="AV91" s="33">
        <f>AV45*SUMIFS(условия!$132:$132,условия!$8:$8,"&lt;="&amp;AV$9,условия!$9:$9,"&gt;="&amp;AV$9)</f>
        <v>515.88956159999998</v>
      </c>
      <c r="AW91" s="33">
        <f>AW45*SUMIFS(условия!$132:$132,условия!$8:$8,"&lt;="&amp;AW$9,условия!$9:$9,"&gt;="&amp;AW$9)</f>
        <v>429.06501120000001</v>
      </c>
      <c r="AX91" s="33">
        <f>AX45*SUMIFS(условия!$132:$132,условия!$8:$8,"&lt;="&amp;AX$9,условия!$9:$9,"&gt;="&amp;AX$9)</f>
        <v>431.17240319999991</v>
      </c>
      <c r="AY91" s="33">
        <f>AY45*SUMIFS(условия!$132:$132,условия!$8:$8,"&lt;="&amp;AY$9,условия!$9:$9,"&gt;="&amp;AY$9)</f>
        <v>519.93575423999994</v>
      </c>
      <c r="AZ91" s="33">
        <f>AZ45*SUMIFS(условия!$132:$132,условия!$8:$8,"&lt;="&amp;AZ$9,условия!$9:$9,"&gt;="&amp;AZ$9)</f>
        <v>787.49024255999973</v>
      </c>
      <c r="BA91" s="33">
        <f>BA45*SUMIFS(условия!$132:$132,условия!$8:$8,"&lt;="&amp;BA$9,условия!$9:$9,"&gt;="&amp;BA$9)</f>
        <v>1070.2179532799998</v>
      </c>
      <c r="BB91" s="33">
        <f>BB45*SUMIFS(условия!$132:$132,условия!$8:$8,"&lt;="&amp;BB$9,условия!$9:$9,"&gt;="&amp;BB$9)</f>
        <v>1363.0611456000001</v>
      </c>
      <c r="BC91" s="33">
        <f>BC45*SUMIFS(условия!$132:$132,условия!$8:$8,"&lt;="&amp;BC$9,условия!$9:$9,"&gt;="&amp;BC$9)</f>
        <v>1205.428224</v>
      </c>
      <c r="BD91" s="33">
        <f>BD45*SUMIFS(условия!$132:$132,условия!$8:$8,"&lt;="&amp;BD$9,условия!$9:$9,"&gt;="&amp;BD$9)</f>
        <v>1071.1504742400002</v>
      </c>
      <c r="BE91" s="33">
        <f>BE45*SUMIFS(условия!$132:$132,условия!$8:$8,"&lt;="&amp;BE$9,условия!$9:$9,"&gt;="&amp;BE$9)</f>
        <v>1255.8620659200005</v>
      </c>
      <c r="BF91" s="33">
        <f>BF45*SUMIFS(условия!$132:$132,условия!$8:$8,"&lt;="&amp;BF$9,условия!$9:$9,"&gt;="&amp;BF$9)</f>
        <v>1449.4115328000003</v>
      </c>
      <c r="BG91" s="33">
        <f>BG45*SUMIFS(условия!$132:$132,условия!$8:$8,"&lt;="&amp;BG$9,условия!$9:$9,"&gt;="&amp;BG$9)</f>
        <v>1445.1693527040004</v>
      </c>
      <c r="BH91" s="33">
        <f>BH45*SUMIFS(условия!$132:$132,условия!$8:$8,"&lt;="&amp;BH$9,условия!$9:$9,"&gt;="&amp;BH$9)</f>
        <v>1081.7559244800002</v>
      </c>
      <c r="BI91" s="33">
        <f>BI45*SUMIFS(условия!$132:$132,условия!$8:$8,"&lt;="&amp;BI$9,условия!$9:$9,"&gt;="&amp;BI$9)</f>
        <v>899.69569536000017</v>
      </c>
      <c r="BJ91" s="33">
        <f>BJ45*SUMIFS(условия!$132:$132,условия!$8:$8,"&lt;="&amp;BJ$9,условия!$9:$9,"&gt;="&amp;BJ$9)</f>
        <v>904.11463296000022</v>
      </c>
      <c r="BK91" s="33">
        <f>BK45*SUMIFS(условия!$132:$132,условия!$8:$8,"&lt;="&amp;BK$9,условия!$9:$9,"&gt;="&amp;BK$9)</f>
        <v>1090.2402846720004</v>
      </c>
      <c r="BL91" s="33">
        <f>BL45*SUMIFS(условия!$132:$132,условия!$8:$8,"&lt;="&amp;BL$9,условия!$9:$9,"&gt;="&amp;BL$9)</f>
        <v>1651.2686023680005</v>
      </c>
      <c r="BM91" s="33">
        <f>BM45*SUMIFS(условия!$132:$132,условия!$8:$8,"&lt;="&amp;BM$9,условия!$9:$9,"&gt;="&amp;BM$9)</f>
        <v>2244.1132707840006</v>
      </c>
      <c r="BN91" s="33">
        <f>BN45*SUMIFS(условия!$132:$132,условия!$8:$8,"&lt;="&amp;BN$9,условия!$9:$9,"&gt;="&amp;BN$9)</f>
        <v>2858.1688396800009</v>
      </c>
      <c r="BO91" s="33">
        <f>BO45*SUMIFS(условия!$132:$132,условия!$8:$8,"&lt;="&amp;BO$9,условия!$9:$9,"&gt;="&amp;BO$9)</f>
        <v>2527.6323072000009</v>
      </c>
      <c r="BP91" s="33">
        <f>BP45*SUMIFS(условия!$132:$132,условия!$8:$8,"&lt;="&amp;BP$9,условия!$9:$9,"&gt;="&amp;BP$9)</f>
        <v>1615.9070011392</v>
      </c>
      <c r="BQ91" s="33">
        <f>BQ45*SUMIFS(условия!$132:$132,условия!$8:$8,"&lt;="&amp;BQ$9,условия!$9:$9,"&gt;="&amp;BQ$9)</f>
        <v>1894.5576308736006</v>
      </c>
      <c r="BR91" s="33">
        <f>BR45*SUMIFS(условия!$132:$132,условия!$8:$8,"&lt;="&amp;BR$9,условия!$9:$9,"&gt;="&amp;BR$9)</f>
        <v>2186.5408266239997</v>
      </c>
      <c r="BS91" s="33">
        <f>BS45*SUMIFS(условия!$132:$132,условия!$8:$8,"&lt;="&amp;BS$9,условия!$9:$9,"&gt;="&amp;BS$9)</f>
        <v>2180.1411949363201</v>
      </c>
      <c r="BT91" s="33">
        <f>BT45*SUMIFS(условия!$132:$132,условия!$8:$8,"&lt;="&amp;BT$9,условия!$9:$9,"&gt;="&amp;BT$9)</f>
        <v>1631.9060803584002</v>
      </c>
      <c r="BU91" s="33">
        <f>BU45*SUMIFS(условия!$132:$132,условия!$8:$8,"&lt;="&amp;BU$9,условия!$9:$9,"&gt;="&amp;BU$9)</f>
        <v>1357.2552204287999</v>
      </c>
      <c r="BV91" s="33">
        <f>BV45*SUMIFS(условия!$132:$132,условия!$8:$8,"&lt;="&amp;BV$9,условия!$9:$9,"&gt;="&amp;BV$9)</f>
        <v>1363.9215034367999</v>
      </c>
      <c r="BW91" s="33">
        <f>BW45*SUMIFS(условия!$132:$132,условия!$8:$8,"&lt;="&amp;BW$9,условия!$9:$9,"&gt;="&amp;BW$9)</f>
        <v>1644.7053437337599</v>
      </c>
      <c r="BX91" s="33">
        <f>BX45*SUMIFS(условия!$132:$132,условия!$8:$8,"&lt;="&amp;BX$9,условия!$9:$9,"&gt;="&amp;BX$9)</f>
        <v>2491.0566344294398</v>
      </c>
      <c r="BY91" s="33">
        <f>BY45*SUMIFS(условия!$132:$132,условия!$8:$8,"&lt;="&amp;BY$9,условия!$9:$9,"&gt;="&amp;BY$9)</f>
        <v>3385.4051627827203</v>
      </c>
      <c r="BZ91" s="33">
        <f>BZ45*SUMIFS(условия!$132:$132,условия!$8:$8,"&lt;="&amp;BZ$9,условия!$9:$9,"&gt;="&amp;BZ$9)</f>
        <v>4311.7518495744007</v>
      </c>
      <c r="CA91" s="33">
        <f>CA45*SUMIFS(условия!$132:$132,условия!$8:$8,"&lt;="&amp;CA$9,условия!$9:$9,"&gt;="&amp;CA$9)</f>
        <v>3813.1138805760006</v>
      </c>
      <c r="CB91" s="33">
        <f>CB45*SUMIFS(условия!$132:$132,условия!$8:$8,"&lt;="&amp;CB$9,условия!$9:$9,"&gt;="&amp;CB$9)</f>
        <v>2317.4403969024002</v>
      </c>
      <c r="CC91" s="33">
        <f>CC45*SUMIFS(условия!$132:$132,условия!$8:$8,"&lt;="&amp;CC$9,условия!$9:$9,"&gt;="&amp;CC$9)</f>
        <v>2714.409353779201</v>
      </c>
      <c r="CD91" s="33">
        <f>CD45*SUMIFS(условия!$132:$132,условия!$8:$8,"&lt;="&amp;CD$9,условия!$9:$9,"&gt;="&amp;CD$9)</f>
        <v>3126.7052974080002</v>
      </c>
      <c r="CE91" s="33">
        <f>CE45*SUMIFS(условия!$132:$132,условия!$8:$8,"&lt;="&amp;CE$9,условия!$9:$9,"&gt;="&amp;CE$9)</f>
        <v>3119.3483437670402</v>
      </c>
      <c r="CF91" s="33">
        <f>CF45*SUMIFS(условия!$132:$132,условия!$8:$8,"&lt;="&amp;CF$9,условия!$9:$9,"&gt;="&amp;CF$9)</f>
        <v>2335.8327810047999</v>
      </c>
      <c r="CG91" s="33">
        <f>CG45*SUMIFS(условия!$132:$132,условия!$8:$8,"&lt;="&amp;CG$9,условия!$9:$9,"&gt;="&amp;CG$9)</f>
        <v>1943.4619201536002</v>
      </c>
      <c r="CH91" s="33">
        <f>CH45*SUMIFS(условия!$132:$132,условия!$8:$8,"&lt;="&amp;CH$9,условия!$9:$9,"&gt;="&amp;CH$9)</f>
        <v>1951.1254135296003</v>
      </c>
      <c r="CI91" s="33">
        <f>CI45*SUMIFS(условия!$132:$132,условия!$8:$8,"&lt;="&amp;CI$9,условия!$9:$9,"&gt;="&amp;CI$9)</f>
        <v>2350.5466882867204</v>
      </c>
      <c r="CJ91" s="33">
        <f>CJ45*SUMIFS(условия!$132:$132,условия!$8:$8,"&lt;="&amp;CJ$9,условия!$9:$9,"&gt;="&amp;CJ$9)</f>
        <v>3553.4086085836802</v>
      </c>
      <c r="CK91" s="33">
        <f>CK45*SUMIFS(условия!$132:$132,условия!$8:$8,"&lt;="&amp;CK$9,условия!$9:$9,"&gt;="&amp;CK$9)</f>
        <v>4811.4476811878394</v>
      </c>
      <c r="CL91" s="33">
        <f>CL45*SUMIFS(условия!$132:$132,условия!$8:$8,"&lt;="&amp;CL$9,условия!$9:$9,"&gt;="&amp;CL$9)</f>
        <v>6106.2715219967986</v>
      </c>
      <c r="CM91" s="33">
        <f>CM45*SUMIFS(условия!$132:$132,условия!$8:$8,"&lt;="&amp;CM$9,условия!$9:$9,"&gt;="&amp;CM$9)</f>
        <v>5379.7723499519998</v>
      </c>
      <c r="CN91" s="33">
        <f>CN45*SUMIFS(условия!$132:$132,условия!$8:$8,"&lt;="&amp;CN$9,условия!$9:$9,"&gt;="&amp;CN$9)</f>
        <v>3088.6709289891842</v>
      </c>
      <c r="CO91" s="33">
        <f>CO45*SUMIFS(условия!$132:$132,условия!$8:$8,"&lt;="&amp;CO$9,условия!$9:$9,"&gt;="&amp;CO$9)</f>
        <v>3615.9738192990721</v>
      </c>
      <c r="CP91" s="33">
        <f>CP45*SUMIFS(условия!$132:$132,условия!$8:$8,"&lt;="&amp;CP$9,условия!$9:$9,"&gt;="&amp;CP$9)</f>
        <v>4161.1687126732804</v>
      </c>
      <c r="CQ91" s="33">
        <f>CQ45*SUMIFS(условия!$132:$132,условия!$8:$8,"&lt;="&amp;CQ$9,условия!$9:$9,"&gt;="&amp;CQ$9)</f>
        <v>4152.5805512024062</v>
      </c>
      <c r="CR91" s="33">
        <f>CR45*SUMIFS(условия!$132:$132,условия!$8:$8,"&lt;="&amp;CR$9,условия!$9:$9,"&gt;="&amp;CR$9)</f>
        <v>3110.1413326663674</v>
      </c>
      <c r="CS91" s="33">
        <f>CS45*SUMIFS(условия!$132:$132,условия!$8:$8,"&lt;="&amp;CS$9,условия!$9:$9,"&gt;="&amp;CS$9)</f>
        <v>2588.2060432757753</v>
      </c>
      <c r="CT91" s="33">
        <f>CT45*SUMIFS(условия!$132:$132,условия!$8:$8,"&lt;="&amp;CT$9,условия!$9:$9,"&gt;="&amp;CT$9)</f>
        <v>2597.152044807935</v>
      </c>
      <c r="CU91" s="33">
        <f>CU45*SUMIFS(условия!$132:$132,условия!$8:$8,"&lt;="&amp;CU$9,условия!$9:$9,"&gt;="&amp;CU$9)</f>
        <v>3127.3176556081148</v>
      </c>
      <c r="CV91" s="33">
        <f>CV45*SUMIFS(условия!$132:$132,условия!$8:$8,"&lt;="&amp;CV$9,условия!$9:$9,"&gt;="&amp;CV$9)</f>
        <v>4723.182088927947</v>
      </c>
      <c r="CW91" s="33">
        <f>CW45*SUMIFS(условия!$132:$132,условия!$8:$8,"&lt;="&amp;CW$9,условия!$9:$9,"&gt;="&amp;CW$9)</f>
        <v>6383.4577332793324</v>
      </c>
      <c r="CX91" s="33">
        <f>CX45*SUMIFS(условия!$132:$132,условия!$8:$8,"&lt;="&amp;CX$9,условия!$9:$9,"&gt;="&amp;CX$9)</f>
        <v>8086.674184985085</v>
      </c>
      <c r="CY91" s="33">
        <f>CY45*SUMIFS(условия!$132:$132,условия!$8:$8,"&lt;="&amp;CY$9,условия!$9:$9,"&gt;="&amp;CY$9)</f>
        <v>7110.7932178483188</v>
      </c>
      <c r="CZ91" s="33">
        <f>CZ45*SUMIFS(условия!$132:$132,условия!$8:$8,"&lt;="&amp;CZ$9,условия!$9:$9,"&gt;="&amp;CZ$9)</f>
        <v>3053.994523050239</v>
      </c>
      <c r="DA91" s="33">
        <f>DA45*SUMIFS(условия!$132:$132,условия!$8:$8,"&lt;="&amp;DA$9,условия!$9:$9,"&gt;="&amp;DA$9)</f>
        <v>3571.8567784099187</v>
      </c>
      <c r="DB91" s="33">
        <f>DB45*SUMIFS(условия!$132:$132,условия!$8:$8,"&lt;="&amp;DB$9,условия!$9:$9,"&gt;="&amp;DB$9)</f>
        <v>4102.380702604798</v>
      </c>
      <c r="DC91" s="33">
        <f>DC45*SUMIFS(условия!$132:$132,условия!$8:$8,"&lt;="&amp;DC$9,условия!$9:$9,"&gt;="&amp;DC$9)</f>
        <v>4096.3031015639017</v>
      </c>
      <c r="DD91" s="33">
        <f>DD45*SUMIFS(условия!$132:$132,условия!$8:$8,"&lt;="&amp;DD$9,условия!$9:$9,"&gt;="&amp;DD$9)</f>
        <v>3069.1885256524788</v>
      </c>
      <c r="DE91" s="33">
        <f>DE45*SUMIFS(условия!$132:$132,условия!$8:$8,"&lt;="&amp;DE$9,условия!$9:$9,"&gt;="&amp;DE$9)</f>
        <v>2555.1247709433592</v>
      </c>
      <c r="DF91" s="33">
        <f>DF45*SUMIFS(условия!$132:$132,условия!$8:$8,"&lt;="&amp;DF$9,условия!$9:$9,"&gt;="&amp;DF$9)</f>
        <v>2561.4556053609595</v>
      </c>
      <c r="DG91" s="33">
        <f>DG45*SUMIFS(условия!$132:$132,условия!$8:$8,"&lt;="&amp;DG$9,условия!$9:$9,"&gt;="&amp;DG$9)</f>
        <v>3081.3437277342709</v>
      </c>
      <c r="DH91" s="33">
        <f>DH45*SUMIFS(условия!$132:$132,условия!$8:$8,"&lt;="&amp;DH$9,условия!$9:$9,"&gt;="&amp;DH$9)</f>
        <v>4644.8065955047668</v>
      </c>
      <c r="DI91" s="33">
        <f>DI45*SUMIFS(условия!$132:$132,условия!$8:$8,"&lt;="&amp;DI$9,условия!$9:$9,"&gt;="&amp;DI$9)</f>
        <v>6253.8514710819809</v>
      </c>
      <c r="DJ91" s="33">
        <f>DJ45*SUMIFS(условия!$132:$132,условия!$8:$8,"&lt;="&amp;DJ$9,условия!$9:$9,"&gt;="&amp;DJ$9)</f>
        <v>7893.2843518636764</v>
      </c>
      <c r="DK91" s="33">
        <f>DK45*SUMIFS(условия!$132:$132,условия!$8:$8,"&lt;="&amp;DK$9,условия!$9:$9,"&gt;="&amp;DK$9)</f>
        <v>6913.2711840191978</v>
      </c>
      <c r="DL91" s="33">
        <f>DL45*SUMIFS(условия!$132:$132,условия!$8:$8,"&lt;="&amp;DL$9,условия!$9:$9,"&gt;="&amp;DL$9)</f>
        <v>2745.860150276812</v>
      </c>
      <c r="DM91" s="33">
        <f>DM45*SUMIFS(условия!$132:$132,условия!$8:$8,"&lt;="&amp;DM$9,условия!$9:$9,"&gt;="&amp;DM$9)</f>
        <v>3209.8849897492219</v>
      </c>
      <c r="DN91" s="33">
        <f>DN45*SUMIFS(условия!$132:$132,условия!$8:$8,"&lt;="&amp;DN$9,условия!$9:$9,"&gt;="&amp;DN$9)</f>
        <v>3683.0262307829748</v>
      </c>
      <c r="DO91" s="33">
        <f>DO45*SUMIFS(условия!$132:$132,условия!$8:$8,"&lt;="&amp;DO$9,условия!$9:$9,"&gt;="&amp;DO$9)</f>
        <v>3678.6503580335302</v>
      </c>
      <c r="DP91" s="33">
        <f>DP45*SUMIFS(условия!$132:$132,условия!$8:$8,"&lt;="&amp;DP$9,условия!$9:$9,"&gt;="&amp;DP$9)</f>
        <v>2756.7998321504247</v>
      </c>
      <c r="DQ91" s="33">
        <f>DQ45*SUMIFS(условия!$132:$132,условия!$8:$8,"&lt;="&amp;DQ$9,условия!$9:$9,"&gt;="&amp;DQ$9)</f>
        <v>2295.5099131464185</v>
      </c>
      <c r="DR91" s="33">
        <f>DR45*SUMIFS(условия!$132:$132,условия!$8:$8,"&lt;="&amp;DR$9,условия!$9:$9,"&gt;="&amp;DR$9)</f>
        <v>2300.0681139270905</v>
      </c>
      <c r="DS91" s="33">
        <f>DS45*SUMIFS(условия!$132:$132,условия!$8:$8,"&lt;="&amp;DS$9,условия!$9:$9,"&gt;="&amp;DS$9)</f>
        <v>2765.5515776493153</v>
      </c>
      <c r="DT91" s="33">
        <f>DT45*SUMIFS(условия!$132:$132,условия!$8:$8,"&lt;="&amp;DT$9,условия!$9:$9,"&gt;="&amp;DT$9)</f>
        <v>4164.7368892843924</v>
      </c>
      <c r="DU91" s="33">
        <f>DU45*SUMIFS(условия!$132:$132,условия!$8:$8,"&lt;="&amp;DU$9,условия!$9:$9,"&gt;="&amp;DU$9)</f>
        <v>5596.7412465403067</v>
      </c>
      <c r="DV91" s="33">
        <f>DV45*SUMIFS(условия!$132:$132,условия!$8:$8,"&lt;="&amp;DV$9,условия!$9:$9,"&gt;="&amp;DV$9)</f>
        <v>7050.6249675434465</v>
      </c>
      <c r="DW91" s="33">
        <f>DW45*SUMIFS(условия!$132:$132,условия!$8:$8,"&lt;="&amp;DW$9,условия!$9:$9,"&gt;="&amp;DW$9)</f>
        <v>6162.687455468541</v>
      </c>
      <c r="DX91" s="33">
        <f>DX45*SUMIFS(условия!$132:$132,условия!$8:$8,"&lt;="&amp;DX$9,условия!$9:$9,"&gt;="&amp;DX$9)</f>
        <v>2852.8502390007448</v>
      </c>
      <c r="DY91" s="33">
        <f>DY45*SUMIFS(условия!$132:$132,условия!$8:$8,"&lt;="&amp;DY$9,условия!$9:$9,"&gt;="&amp;DY$9)</f>
        <v>3333.3028340866972</v>
      </c>
      <c r="DZ91" s="33">
        <f>DZ45*SUMIFS(условия!$132:$132,условия!$8:$8,"&lt;="&amp;DZ$9,условия!$9:$9,"&gt;="&amp;DZ$9)</f>
        <v>3820.8662223904967</v>
      </c>
      <c r="EA91" s="33">
        <f>EA45*SUMIFS(условия!$132:$132,условия!$8:$8,"&lt;="&amp;EA$9,условия!$9:$9,"&gt;="&amp;EA$9)</f>
        <v>3817.4530416459288</v>
      </c>
      <c r="EB91" s="33">
        <f>EB45*SUMIFS(условия!$132:$132,условия!$8:$8,"&lt;="&amp;EB$9,условия!$9:$9,"&gt;="&amp;EB$9)</f>
        <v>2861.3831908621632</v>
      </c>
      <c r="EC91" s="33">
        <f>EC45*SUMIFS(условия!$132:$132,условия!$8:$8,"&lt;="&amp;EC$9,условия!$9:$9,"&gt;="&amp;EC$9)</f>
        <v>2383.0638337415671</v>
      </c>
      <c r="ED91" s="33">
        <f>ED45*SUMIFS(условия!$132:$132,условия!$8:$8,"&lt;="&amp;ED$9,условия!$9:$9,"&gt;="&amp;ED$9)</f>
        <v>2386.6192303504904</v>
      </c>
      <c r="EE91" s="33">
        <f>EE45*SUMIFS(условия!$132:$132,условия!$8:$8,"&lt;="&amp;EE$9,условия!$9:$9,"&gt;="&amp;EE$9)</f>
        <v>2868.2095523512976</v>
      </c>
      <c r="EF91" s="33">
        <f>EF45*SUMIFS(условия!$132:$132,условия!$8:$8,"&lt;="&amp;EF$9,условия!$9:$9,"&gt;="&amp;EF$9)</f>
        <v>4315.1137563190741</v>
      </c>
      <c r="EG91" s="33">
        <f>EG45*SUMIFS(условия!$132:$132,условия!$8:$8,"&lt;="&amp;EG$9,условия!$9:$9,"&gt;="&amp;EG$9)</f>
        <v>5787.6168158711043</v>
      </c>
      <c r="EH91" s="33">
        <f>EH45*SUMIFS(условия!$132:$132,условия!$8:$8,"&lt;="&amp;EH$9,условия!$9:$9,"&gt;="&amp;EH$9)</f>
        <v>7277.1857791459688</v>
      </c>
      <c r="EI91" s="33">
        <f>EI45*SUMIFS(условия!$132:$132,условия!$8:$8,"&lt;="&amp;EI$9,условия!$9:$9,"&gt;="&amp;EI$9)</f>
        <v>6347.5680791325985</v>
      </c>
      <c r="EJ91" s="3"/>
      <c r="EK91" s="3"/>
    </row>
    <row r="92" spans="1:14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</row>
    <row r="93" spans="1:141" x14ac:dyDescent="0.25">
      <c r="A93" s="3"/>
      <c r="B93" s="3"/>
      <c r="C93" s="3"/>
      <c r="D93" s="3"/>
      <c r="E93" s="3"/>
      <c r="F93" s="10" t="str">
        <f>KPI!$F$88</f>
        <v>постоянный ФОТ производственного персонала</v>
      </c>
      <c r="G93" s="3"/>
      <c r="H93" s="3"/>
      <c r="I93" s="3"/>
      <c r="J93" s="5" t="str">
        <f>IF($F93="","",INDEX(KPI!$I$11:$I$275,SUMIFS(KPI!$E$11:$E$275,KPI!$F$11:$F$275,$F93)))</f>
        <v>тыс.руб.</v>
      </c>
      <c r="K93" s="3"/>
      <c r="L93" s="3"/>
      <c r="M93" s="3"/>
      <c r="N93" s="3"/>
      <c r="O93" s="3"/>
      <c r="P93" s="3"/>
      <c r="Q93" s="12">
        <f>SUM(S93:EJ93)</f>
        <v>118433.72950081588</v>
      </c>
      <c r="R93" s="3"/>
      <c r="S93" s="55"/>
      <c r="T93" s="33">
        <f>S93+IF(T1=$Q$53,условия!$Q$136*SUMIFS(условия!$138:$138,условия!$8:$8,"&lt;="&amp;T$9,условия!$9:$9,"&gt;="&amp;T$9),0)+T51*условия!$Q$136*SUMIFS(условия!$138:$138,условия!$8:$8,"&lt;="&amp;T$9,условия!$9:$9,"&gt;="&amp;T$9)</f>
        <v>0</v>
      </c>
      <c r="U93" s="33">
        <f>T93+IF(U1=$Q$53,условия!$Q$136*SUMIFS(условия!$138:$138,условия!$8:$8,"&lt;="&amp;U$9,условия!$9:$9,"&gt;="&amp;U$9),0)+U51*условия!$Q$136*SUMIFS(условия!$138:$138,условия!$8:$8,"&lt;="&amp;U$9,условия!$9:$9,"&gt;="&amp;U$9)</f>
        <v>0</v>
      </c>
      <c r="V93" s="33">
        <f>U93+IF(V1=$Q$53,условия!$Q$136*SUMIFS(условия!$138:$138,условия!$8:$8,"&lt;="&amp;V$9,условия!$9:$9,"&gt;="&amp;V$9),0)+V51*условия!$Q$136*SUMIFS(условия!$138:$138,условия!$8:$8,"&lt;="&amp;V$9,условия!$9:$9,"&gt;="&amp;V$9)</f>
        <v>0</v>
      </c>
      <c r="W93" s="33">
        <f>V93+IF(W1=$Q$53,условия!$Q$136*SUMIFS(условия!$138:$138,условия!$8:$8,"&lt;="&amp;W$9,условия!$9:$9,"&gt;="&amp;W$9),0)+W51*условия!$Q$136*SUMIFS(условия!$138:$138,условия!$8:$8,"&lt;="&amp;W$9,условия!$9:$9,"&gt;="&amp;W$9)</f>
        <v>0</v>
      </c>
      <c r="X93" s="33">
        <f>W93+IF(X1=$Q$53,условия!$Q$136*SUMIFS(условия!$138:$138,условия!$8:$8,"&lt;="&amp;X$9,условия!$9:$9,"&gt;="&amp;X$9),0)+X51*условия!$Q$136*SUMIFS(условия!$138:$138,условия!$8:$8,"&lt;="&amp;X$9,условия!$9:$9,"&gt;="&amp;X$9)</f>
        <v>500</v>
      </c>
      <c r="Y93" s="33">
        <f>X93+IF(Y1=$Q$53,условия!$Q$136*SUMIFS(условия!$138:$138,условия!$8:$8,"&lt;="&amp;Y$9,условия!$9:$9,"&gt;="&amp;Y$9),0)+Y51*условия!$Q$136*SUMIFS(условия!$138:$138,условия!$8:$8,"&lt;="&amp;Y$9,условия!$9:$9,"&gt;="&amp;Y$9)</f>
        <v>500</v>
      </c>
      <c r="Z93" s="33">
        <f>Y93+IF(Z1=$Q$53,условия!$Q$136*SUMIFS(условия!$138:$138,условия!$8:$8,"&lt;="&amp;Z$9,условия!$9:$9,"&gt;="&amp;Z$9),0)+Z51*условия!$Q$136*SUMIFS(условия!$138:$138,условия!$8:$8,"&lt;="&amp;Z$9,условия!$9:$9,"&gt;="&amp;Z$9)</f>
        <v>500</v>
      </c>
      <c r="AA93" s="33">
        <f>Z93+IF(AA1=$Q$53,условия!$Q$136*SUMIFS(условия!$138:$138,условия!$8:$8,"&lt;="&amp;AA$9,условия!$9:$9,"&gt;="&amp;AA$9),0)+AA51*условия!$Q$136*SUMIFS(условия!$138:$138,условия!$8:$8,"&lt;="&amp;AA$9,условия!$9:$9,"&gt;="&amp;AA$9)</f>
        <v>500</v>
      </c>
      <c r="AB93" s="33">
        <f>AA93+IF(AB1=$Q$53,условия!$Q$136*SUMIFS(условия!$138:$138,условия!$8:$8,"&lt;="&amp;AB$9,условия!$9:$9,"&gt;="&amp;AB$9),0)+AB51*условия!$Q$136*SUMIFS(условия!$138:$138,условия!$8:$8,"&lt;="&amp;AB$9,условия!$9:$9,"&gt;="&amp;AB$9)</f>
        <v>500</v>
      </c>
      <c r="AC93" s="33">
        <f>AB93+IF(AC1=$Q$53,условия!$Q$136*SUMIFS(условия!$138:$138,условия!$8:$8,"&lt;="&amp;AC$9,условия!$9:$9,"&gt;="&amp;AC$9),0)+AC51*условия!$Q$136*SUMIFS(условия!$138:$138,условия!$8:$8,"&lt;="&amp;AC$9,условия!$9:$9,"&gt;="&amp;AC$9)</f>
        <v>500</v>
      </c>
      <c r="AD93" s="33">
        <f>AC93+IF(AD1=$Q$53,условия!$Q$136*SUMIFS(условия!$138:$138,условия!$8:$8,"&lt;="&amp;AD$9,условия!$9:$9,"&gt;="&amp;AD$9),0)+AD51*условия!$Q$136*SUMIFS(условия!$138:$138,условия!$8:$8,"&lt;="&amp;AD$9,условия!$9:$9,"&gt;="&amp;AD$9)</f>
        <v>500</v>
      </c>
      <c r="AE93" s="33">
        <f>AD93+IF(AE1=$Q$53,условия!$Q$136*SUMIFS(условия!$138:$138,условия!$8:$8,"&lt;="&amp;AE$9,условия!$9:$9,"&gt;="&amp;AE$9),0)+AE51*условия!$Q$136*SUMIFS(условия!$138:$138,условия!$8:$8,"&lt;="&amp;AE$9,условия!$9:$9,"&gt;="&amp;AE$9)</f>
        <v>500</v>
      </c>
      <c r="AF93" s="33">
        <f>AE93+IF(AF1=$Q$53,условия!$Q$136*SUMIFS(условия!$138:$138,условия!$8:$8,"&lt;="&amp;AF$9,условия!$9:$9,"&gt;="&amp;AF$9),0)+AF51*условия!$Q$136*SUMIFS(условия!$138:$138,условия!$8:$8,"&lt;="&amp;AF$9,условия!$9:$9,"&gt;="&amp;AF$9)</f>
        <v>500</v>
      </c>
      <c r="AG93" s="33">
        <f>AF93+IF(AG1=$Q$53,условия!$Q$136*SUMIFS(условия!$138:$138,условия!$8:$8,"&lt;="&amp;AG$9,условия!$9:$9,"&gt;="&amp;AG$9),0)+AG51*условия!$Q$136*SUMIFS(условия!$138:$138,условия!$8:$8,"&lt;="&amp;AG$9,условия!$9:$9,"&gt;="&amp;AG$9)</f>
        <v>500</v>
      </c>
      <c r="AH93" s="33">
        <f>AG93+IF(AH1=$Q$53,условия!$Q$136*SUMIFS(условия!$138:$138,условия!$8:$8,"&lt;="&amp;AH$9,условия!$9:$9,"&gt;="&amp;AH$9),0)+AH51*условия!$Q$136*SUMIFS(условия!$138:$138,условия!$8:$8,"&lt;="&amp;AH$9,условия!$9:$9,"&gt;="&amp;AH$9)</f>
        <v>500</v>
      </c>
      <c r="AI93" s="33">
        <f>AH93+IF(AI1=$Q$53,условия!$Q$136*SUMIFS(условия!$138:$138,условия!$8:$8,"&lt;="&amp;AI$9,условия!$9:$9,"&gt;="&amp;AI$9),0)+AI51*условия!$Q$136*SUMIFS(условия!$138:$138,условия!$8:$8,"&lt;="&amp;AI$9,условия!$9:$9,"&gt;="&amp;AI$9)</f>
        <v>500</v>
      </c>
      <c r="AJ93" s="33">
        <f>AI93+IF(AJ1=$Q$53,условия!$Q$136*SUMIFS(условия!$138:$138,условия!$8:$8,"&lt;="&amp;AJ$9,условия!$9:$9,"&gt;="&amp;AJ$9),0)+AJ51*условия!$Q$136*SUMIFS(условия!$138:$138,условия!$8:$8,"&lt;="&amp;AJ$9,условия!$9:$9,"&gt;="&amp;AJ$9)</f>
        <v>500</v>
      </c>
      <c r="AK93" s="33">
        <f>AJ93+IF(AK1=$Q$53,условия!$Q$136*SUMIFS(условия!$138:$138,условия!$8:$8,"&lt;="&amp;AK$9,условия!$9:$9,"&gt;="&amp;AK$9),0)+AK51*условия!$Q$136*SUMIFS(условия!$138:$138,условия!$8:$8,"&lt;="&amp;AK$9,условия!$9:$9,"&gt;="&amp;AK$9)</f>
        <v>500</v>
      </c>
      <c r="AL93" s="33">
        <f>AK93+IF(AL1=$Q$53,условия!$Q$136*SUMIFS(условия!$138:$138,условия!$8:$8,"&lt;="&amp;AL$9,условия!$9:$9,"&gt;="&amp;AL$9),0)+AL51*условия!$Q$136*SUMIFS(условия!$138:$138,условия!$8:$8,"&lt;="&amp;AL$9,условия!$9:$9,"&gt;="&amp;AL$9)</f>
        <v>500</v>
      </c>
      <c r="AM93" s="33">
        <f>AL93+IF(AM1=$Q$53,условия!$Q$136*SUMIFS(условия!$138:$138,условия!$8:$8,"&lt;="&amp;AM$9,условия!$9:$9,"&gt;="&amp;AM$9),0)+AM51*условия!$Q$136*SUMIFS(условия!$138:$138,условия!$8:$8,"&lt;="&amp;AM$9,условия!$9:$9,"&gt;="&amp;AM$9)</f>
        <v>500</v>
      </c>
      <c r="AN93" s="33">
        <f>AM93+IF(AN1=$Q$53,условия!$Q$136*SUMIFS(условия!$138:$138,условия!$8:$8,"&lt;="&amp;AN$9,условия!$9:$9,"&gt;="&amp;AN$9),0)+AN51*условия!$Q$136*SUMIFS(условия!$138:$138,условия!$8:$8,"&lt;="&amp;AN$9,условия!$9:$9,"&gt;="&amp;AN$9)</f>
        <v>500</v>
      </c>
      <c r="AO93" s="33">
        <f>AN93+IF(AO1=$Q$53,условия!$Q$136*SUMIFS(условия!$138:$138,условия!$8:$8,"&lt;="&amp;AO$9,условия!$9:$9,"&gt;="&amp;AO$9),0)+AO51*условия!$Q$136*SUMIFS(условия!$138:$138,условия!$8:$8,"&lt;="&amp;AO$9,условия!$9:$9,"&gt;="&amp;AO$9)</f>
        <v>500</v>
      </c>
      <c r="AP93" s="33">
        <f>AO93+IF(AP1=$Q$53,условия!$Q$136*SUMIFS(условия!$138:$138,условия!$8:$8,"&lt;="&amp;AP$9,условия!$9:$9,"&gt;="&amp;AP$9),0)+AP51*условия!$Q$136*SUMIFS(условия!$138:$138,условия!$8:$8,"&lt;="&amp;AP$9,условия!$9:$9,"&gt;="&amp;AP$9)</f>
        <v>500</v>
      </c>
      <c r="AQ93" s="33">
        <f>AP93+IF(AQ1=$Q$53,условия!$Q$136*SUMIFS(условия!$138:$138,условия!$8:$8,"&lt;="&amp;AQ$9,условия!$9:$9,"&gt;="&amp;AQ$9),0)+AQ51*условия!$Q$136*SUMIFS(условия!$138:$138,условия!$8:$8,"&lt;="&amp;AQ$9,условия!$9:$9,"&gt;="&amp;AQ$9)</f>
        <v>500</v>
      </c>
      <c r="AR93" s="33">
        <f>AQ93+IF(AR1=$Q$53,условия!$Q$136*SUMIFS(условия!$138:$138,условия!$8:$8,"&lt;="&amp;AR$9,условия!$9:$9,"&gt;="&amp;AR$9),0)+AR51*условия!$Q$136*SUMIFS(условия!$138:$138,условия!$8:$8,"&lt;="&amp;AR$9,условия!$9:$9,"&gt;="&amp;AR$9)</f>
        <v>500</v>
      </c>
      <c r="AS93" s="33">
        <f>AR93+IF(AS1=$Q$53,условия!$Q$136*SUMIFS(условия!$138:$138,условия!$8:$8,"&lt;="&amp;AS$9,условия!$9:$9,"&gt;="&amp;AS$9),0)+AS51*условия!$Q$136*SUMIFS(условия!$138:$138,условия!$8:$8,"&lt;="&amp;AS$9,условия!$9:$9,"&gt;="&amp;AS$9)</f>
        <v>500</v>
      </c>
      <c r="AT93" s="33">
        <f>AS93+IF(AT1=$Q$53,условия!$Q$136*SUMIFS(условия!$138:$138,условия!$8:$8,"&lt;="&amp;AT$9,условия!$9:$9,"&gt;="&amp;AT$9),0)+AT51*условия!$Q$136*SUMIFS(условия!$138:$138,условия!$8:$8,"&lt;="&amp;AT$9,условия!$9:$9,"&gt;="&amp;AT$9)</f>
        <v>500</v>
      </c>
      <c r="AU93" s="33">
        <f>AT93+IF(AU1=$Q$53,условия!$Q$136*SUMIFS(условия!$138:$138,условия!$8:$8,"&lt;="&amp;AU$9,условия!$9:$9,"&gt;="&amp;AU$9),0)+AU51*условия!$Q$136*SUMIFS(условия!$138:$138,условия!$8:$8,"&lt;="&amp;AU$9,условия!$9:$9,"&gt;="&amp;AU$9)</f>
        <v>500</v>
      </c>
      <c r="AV93" s="33">
        <f>AU93+IF(AV1=$Q$53,условия!$Q$136*SUMIFS(условия!$138:$138,условия!$8:$8,"&lt;="&amp;AV$9,условия!$9:$9,"&gt;="&amp;AV$9),0)+AV51*условия!$Q$136*SUMIFS(условия!$138:$138,условия!$8:$8,"&lt;="&amp;AV$9,условия!$9:$9,"&gt;="&amp;AV$9)</f>
        <v>500</v>
      </c>
      <c r="AW93" s="33">
        <f>AV93+IF(AW1=$Q$53,условия!$Q$136*SUMIFS(условия!$138:$138,условия!$8:$8,"&lt;="&amp;AW$9,условия!$9:$9,"&gt;="&amp;AW$9),0)+AW51*условия!$Q$136*SUMIFS(условия!$138:$138,условия!$8:$8,"&lt;="&amp;AW$9,условия!$9:$9,"&gt;="&amp;AW$9)</f>
        <v>500</v>
      </c>
      <c r="AX93" s="33">
        <f>AW93+IF(AX1=$Q$53,условия!$Q$136*SUMIFS(условия!$138:$138,условия!$8:$8,"&lt;="&amp;AX$9,условия!$9:$9,"&gt;="&amp;AX$9),0)+AX51*условия!$Q$136*SUMIFS(условия!$138:$138,условия!$8:$8,"&lt;="&amp;AX$9,условия!$9:$9,"&gt;="&amp;AX$9)</f>
        <v>500</v>
      </c>
      <c r="AY93" s="33">
        <f>AX93+IF(AY1=$Q$53,условия!$Q$136*SUMIFS(условия!$138:$138,условия!$8:$8,"&lt;="&amp;AY$9,условия!$9:$9,"&gt;="&amp;AY$9),0)+AY51*условия!$Q$136*SUMIFS(условия!$138:$138,условия!$8:$8,"&lt;="&amp;AY$9,условия!$9:$9,"&gt;="&amp;AY$9)</f>
        <v>500</v>
      </c>
      <c r="AZ93" s="33">
        <f>AY93+IF(AZ1=$Q$53,условия!$Q$136*SUMIFS(условия!$138:$138,условия!$8:$8,"&lt;="&amp;AZ$9,условия!$9:$9,"&gt;="&amp;AZ$9),0)+AZ51*условия!$Q$136*SUMIFS(условия!$138:$138,условия!$8:$8,"&lt;="&amp;AZ$9,условия!$9:$9,"&gt;="&amp;AZ$9)</f>
        <v>500</v>
      </c>
      <c r="BA93" s="33">
        <f>AZ93+IF(BA1=$Q$53,условия!$Q$136*SUMIFS(условия!$138:$138,условия!$8:$8,"&lt;="&amp;BA$9,условия!$9:$9,"&gt;="&amp;BA$9),0)+BA51*условия!$Q$136*SUMIFS(условия!$138:$138,условия!$8:$8,"&lt;="&amp;BA$9,условия!$9:$9,"&gt;="&amp;BA$9)</f>
        <v>500</v>
      </c>
      <c r="BB93" s="33">
        <f>BA93+IF(BB1=$Q$53,условия!$Q$136*SUMIFS(условия!$138:$138,условия!$8:$8,"&lt;="&amp;BB$9,условия!$9:$9,"&gt;="&amp;BB$9),0)+BB51*условия!$Q$136*SUMIFS(условия!$138:$138,условия!$8:$8,"&lt;="&amp;BB$9,условия!$9:$9,"&gt;="&amp;BB$9)</f>
        <v>500</v>
      </c>
      <c r="BC93" s="33">
        <f>BB93+IF(BC1=$Q$53,условия!$Q$136*SUMIFS(условия!$138:$138,условия!$8:$8,"&lt;="&amp;BC$9,условия!$9:$9,"&gt;="&amp;BC$9),0)+BC51*условия!$Q$136*SUMIFS(условия!$138:$138,условия!$8:$8,"&lt;="&amp;BC$9,условия!$9:$9,"&gt;="&amp;BC$9)</f>
        <v>500</v>
      </c>
      <c r="BD93" s="33">
        <f>BC93+IF(BD1=$Q$53,условия!$Q$136*SUMIFS(условия!$138:$138,условия!$8:$8,"&lt;="&amp;BD$9,условия!$9:$9,"&gt;="&amp;BD$9),0)+BD51*условия!$Q$136*SUMIFS(условия!$138:$138,условия!$8:$8,"&lt;="&amp;BD$9,условия!$9:$9,"&gt;="&amp;BD$9)</f>
        <v>500</v>
      </c>
      <c r="BE93" s="33">
        <f>BD93+IF(BE1=$Q$53,условия!$Q$136*SUMIFS(условия!$138:$138,условия!$8:$8,"&lt;="&amp;BE$9,условия!$9:$9,"&gt;="&amp;BE$9),0)+BE51*условия!$Q$136*SUMIFS(условия!$138:$138,условия!$8:$8,"&lt;="&amp;BE$9,условия!$9:$9,"&gt;="&amp;BE$9)</f>
        <v>500</v>
      </c>
      <c r="BF93" s="33">
        <f>BE93+IF(BF1=$Q$53,условия!$Q$136*SUMIFS(условия!$138:$138,условия!$8:$8,"&lt;="&amp;BF$9,условия!$9:$9,"&gt;="&amp;BF$9),0)+BF51*условия!$Q$136*SUMIFS(условия!$138:$138,условия!$8:$8,"&lt;="&amp;BF$9,условия!$9:$9,"&gt;="&amp;BF$9)</f>
        <v>500</v>
      </c>
      <c r="BG93" s="33">
        <f>BF93+IF(BG1=$Q$53,условия!$Q$136*SUMIFS(условия!$138:$138,условия!$8:$8,"&lt;="&amp;BG$9,условия!$9:$9,"&gt;="&amp;BG$9),0)+BG51*условия!$Q$136*SUMIFS(условия!$138:$138,условия!$8:$8,"&lt;="&amp;BG$9,условия!$9:$9,"&gt;="&amp;BG$9)</f>
        <v>500</v>
      </c>
      <c r="BH93" s="33">
        <f>BG93+IF(BH1=$Q$53,условия!$Q$136*SUMIFS(условия!$138:$138,условия!$8:$8,"&lt;="&amp;BH$9,условия!$9:$9,"&gt;="&amp;BH$9),0)+BH51*условия!$Q$136*SUMIFS(условия!$138:$138,условия!$8:$8,"&lt;="&amp;BH$9,условия!$9:$9,"&gt;="&amp;BH$9)</f>
        <v>500</v>
      </c>
      <c r="BI93" s="33">
        <f>BH93+IF(BI1=$Q$53,условия!$Q$136*SUMIFS(условия!$138:$138,условия!$8:$8,"&lt;="&amp;BI$9,условия!$9:$9,"&gt;="&amp;BI$9),0)+BI51*условия!$Q$136*SUMIFS(условия!$138:$138,условия!$8:$8,"&lt;="&amp;BI$9,условия!$9:$9,"&gt;="&amp;BI$9)</f>
        <v>500</v>
      </c>
      <c r="BJ93" s="33">
        <f>BI93+IF(BJ1=$Q$53,условия!$Q$136*SUMIFS(условия!$138:$138,условия!$8:$8,"&lt;="&amp;BJ$9,условия!$9:$9,"&gt;="&amp;BJ$9),0)+BJ51*условия!$Q$136*SUMIFS(условия!$138:$138,условия!$8:$8,"&lt;="&amp;BJ$9,условия!$9:$9,"&gt;="&amp;BJ$9)</f>
        <v>500</v>
      </c>
      <c r="BK93" s="33">
        <f>BJ93+IF(BK1=$Q$53,условия!$Q$136*SUMIFS(условия!$138:$138,условия!$8:$8,"&lt;="&amp;BK$9,условия!$9:$9,"&gt;="&amp;BK$9),0)+BK51*условия!$Q$136*SUMIFS(условия!$138:$138,условия!$8:$8,"&lt;="&amp;BK$9,условия!$9:$9,"&gt;="&amp;BK$9)</f>
        <v>500</v>
      </c>
      <c r="BL93" s="33">
        <f>BK93+IF(BL1=$Q$53,условия!$Q$136*SUMIFS(условия!$138:$138,условия!$8:$8,"&lt;="&amp;BL$9,условия!$9:$9,"&gt;="&amp;BL$9),0)+BL51*условия!$Q$136*SUMIFS(условия!$138:$138,условия!$8:$8,"&lt;="&amp;BL$9,условия!$9:$9,"&gt;="&amp;BL$9)</f>
        <v>500</v>
      </c>
      <c r="BM93" s="33">
        <f>BL93+IF(BM1=$Q$53,условия!$Q$136*SUMIFS(условия!$138:$138,условия!$8:$8,"&lt;="&amp;BM$9,условия!$9:$9,"&gt;="&amp;BM$9),0)+BM51*условия!$Q$136*SUMIFS(условия!$138:$138,условия!$8:$8,"&lt;="&amp;BM$9,условия!$9:$9,"&gt;="&amp;BM$9)</f>
        <v>500</v>
      </c>
      <c r="BN93" s="33">
        <f>BM93+IF(BN1=$Q$53,условия!$Q$136*SUMIFS(условия!$138:$138,условия!$8:$8,"&lt;="&amp;BN$9,условия!$9:$9,"&gt;="&amp;BN$9),0)+BN51*условия!$Q$136*SUMIFS(условия!$138:$138,условия!$8:$8,"&lt;="&amp;BN$9,условия!$9:$9,"&gt;="&amp;BN$9)</f>
        <v>500</v>
      </c>
      <c r="BO93" s="33">
        <f>BN93+IF(BO1=$Q$53,условия!$Q$136*SUMIFS(условия!$138:$138,условия!$8:$8,"&lt;="&amp;BO$9,условия!$9:$9,"&gt;="&amp;BO$9),0)+BO51*условия!$Q$136*SUMIFS(условия!$138:$138,условия!$8:$8,"&lt;="&amp;BO$9,условия!$9:$9,"&gt;="&amp;BO$9)</f>
        <v>500</v>
      </c>
      <c r="BP93" s="33">
        <f>BO93+IF(BP1=$Q$53,условия!$Q$136*SUMIFS(условия!$138:$138,условия!$8:$8,"&lt;="&amp;BP$9,условия!$9:$9,"&gt;="&amp;BP$9),0)+BP51*условия!$Q$136*SUMIFS(условия!$138:$138,условия!$8:$8,"&lt;="&amp;BP$9,условия!$9:$9,"&gt;="&amp;BP$9)</f>
        <v>500</v>
      </c>
      <c r="BQ93" s="33">
        <f>BP93+IF(BQ1=$Q$53,условия!$Q$136*SUMIFS(условия!$138:$138,условия!$8:$8,"&lt;="&amp;BQ$9,условия!$9:$9,"&gt;="&amp;BQ$9),0)+BQ51*условия!$Q$136*SUMIFS(условия!$138:$138,условия!$8:$8,"&lt;="&amp;BQ$9,условия!$9:$9,"&gt;="&amp;BQ$9)</f>
        <v>500</v>
      </c>
      <c r="BR93" s="33">
        <f>BQ93+IF(BR1=$Q$53,условия!$Q$136*SUMIFS(условия!$138:$138,условия!$8:$8,"&lt;="&amp;BR$9,условия!$9:$9,"&gt;="&amp;BR$9),0)+BR51*условия!$Q$136*SUMIFS(условия!$138:$138,условия!$8:$8,"&lt;="&amp;BR$9,условия!$9:$9,"&gt;="&amp;BR$9)</f>
        <v>500</v>
      </c>
      <c r="BS93" s="33">
        <f>BR93+IF(BS1=$Q$53,условия!$Q$136*SUMIFS(условия!$138:$138,условия!$8:$8,"&lt;="&amp;BS$9,условия!$9:$9,"&gt;="&amp;BS$9),0)+BS51*условия!$Q$136*SUMIFS(условия!$138:$138,условия!$8:$8,"&lt;="&amp;BS$9,условия!$9:$9,"&gt;="&amp;BS$9)</f>
        <v>500</v>
      </c>
      <c r="BT93" s="33">
        <f>BS93+IF(BT1=$Q$53,условия!$Q$136*SUMIFS(условия!$138:$138,условия!$8:$8,"&lt;="&amp;BT$9,условия!$9:$9,"&gt;="&amp;BT$9),0)+BT51*условия!$Q$136*SUMIFS(условия!$138:$138,условия!$8:$8,"&lt;="&amp;BT$9,условия!$9:$9,"&gt;="&amp;BT$9)</f>
        <v>500</v>
      </c>
      <c r="BU93" s="33">
        <f>BT93+IF(BU1=$Q$53,условия!$Q$136*SUMIFS(условия!$138:$138,условия!$8:$8,"&lt;="&amp;BU$9,условия!$9:$9,"&gt;="&amp;BU$9),0)+BU51*условия!$Q$136*SUMIFS(условия!$138:$138,условия!$8:$8,"&lt;="&amp;BU$9,условия!$9:$9,"&gt;="&amp;BU$9)</f>
        <v>500</v>
      </c>
      <c r="BV93" s="33">
        <f>BU93+IF(BV1=$Q$53,условия!$Q$136*SUMIFS(условия!$138:$138,условия!$8:$8,"&lt;="&amp;BV$9,условия!$9:$9,"&gt;="&amp;BV$9),0)+BV51*условия!$Q$136*SUMIFS(условия!$138:$138,условия!$8:$8,"&lt;="&amp;BV$9,условия!$9:$9,"&gt;="&amp;BV$9)</f>
        <v>500</v>
      </c>
      <c r="BW93" s="33">
        <f>BV93+IF(BW1=$Q$53,условия!$Q$136*SUMIFS(условия!$138:$138,условия!$8:$8,"&lt;="&amp;BW$9,условия!$9:$9,"&gt;="&amp;BW$9),0)+BW51*условия!$Q$136*SUMIFS(условия!$138:$138,условия!$8:$8,"&lt;="&amp;BW$9,условия!$9:$9,"&gt;="&amp;BW$9)</f>
        <v>500</v>
      </c>
      <c r="BX93" s="33">
        <f>BW93+IF(BX1=$Q$53,условия!$Q$136*SUMIFS(условия!$138:$138,условия!$8:$8,"&lt;="&amp;BX$9,условия!$9:$9,"&gt;="&amp;BX$9),0)+BX51*условия!$Q$136*SUMIFS(условия!$138:$138,условия!$8:$8,"&lt;="&amp;BX$9,условия!$9:$9,"&gt;="&amp;BX$9)</f>
        <v>500</v>
      </c>
      <c r="BY93" s="33">
        <f>BX93+IF(BY1=$Q$53,условия!$Q$136*SUMIFS(условия!$138:$138,условия!$8:$8,"&lt;="&amp;BY$9,условия!$9:$9,"&gt;="&amp;BY$9),0)+BY51*условия!$Q$136*SUMIFS(условия!$138:$138,условия!$8:$8,"&lt;="&amp;BY$9,условия!$9:$9,"&gt;="&amp;BY$9)</f>
        <v>1149.1583000000001</v>
      </c>
      <c r="BZ93" s="33">
        <f>BY93+IF(BZ1=$Q$53,условия!$Q$136*SUMIFS(условия!$138:$138,условия!$8:$8,"&lt;="&amp;BZ$9,условия!$9:$9,"&gt;="&amp;BZ$9),0)+BZ51*условия!$Q$136*SUMIFS(условия!$138:$138,условия!$8:$8,"&lt;="&amp;BZ$9,условия!$9:$9,"&gt;="&amp;BZ$9)</f>
        <v>1149.1583000000001</v>
      </c>
      <c r="CA93" s="33">
        <f>BZ93+IF(CA1=$Q$53,условия!$Q$136*SUMIFS(условия!$138:$138,условия!$8:$8,"&lt;="&amp;CA$9,условия!$9:$9,"&gt;="&amp;CA$9),0)+CA51*условия!$Q$136*SUMIFS(условия!$138:$138,условия!$8:$8,"&lt;="&amp;CA$9,условия!$9:$9,"&gt;="&amp;CA$9)</f>
        <v>1149.1583000000001</v>
      </c>
      <c r="CB93" s="33">
        <f>CA93+IF(CB1=$Q$53,условия!$Q$136*SUMIFS(условия!$138:$138,условия!$8:$8,"&lt;="&amp;CB$9,условия!$9:$9,"&gt;="&amp;CB$9),0)+CB51*условия!$Q$136*SUMIFS(условия!$138:$138,условия!$8:$8,"&lt;="&amp;CB$9,условия!$9:$9,"&gt;="&amp;CB$9)</f>
        <v>1149.1583000000001</v>
      </c>
      <c r="CC93" s="33">
        <f>CB93+IF(CC1=$Q$53,условия!$Q$136*SUMIFS(условия!$138:$138,условия!$8:$8,"&lt;="&amp;CC$9,условия!$9:$9,"&gt;="&amp;CC$9),0)+CC51*условия!$Q$136*SUMIFS(условия!$138:$138,условия!$8:$8,"&lt;="&amp;CC$9,условия!$9:$9,"&gt;="&amp;CC$9)</f>
        <v>1149.1583000000001</v>
      </c>
      <c r="CD93" s="33">
        <f>CC93+IF(CD1=$Q$53,условия!$Q$136*SUMIFS(условия!$138:$138,условия!$8:$8,"&lt;="&amp;CD$9,условия!$9:$9,"&gt;="&amp;CD$9),0)+CD51*условия!$Q$136*SUMIFS(условия!$138:$138,условия!$8:$8,"&lt;="&amp;CD$9,условия!$9:$9,"&gt;="&amp;CD$9)</f>
        <v>1149.1583000000001</v>
      </c>
      <c r="CE93" s="33">
        <f>CD93+IF(CE1=$Q$53,условия!$Q$136*SUMIFS(условия!$138:$138,условия!$8:$8,"&lt;="&amp;CE$9,условия!$9:$9,"&gt;="&amp;CE$9),0)+CE51*условия!$Q$136*SUMIFS(условия!$138:$138,условия!$8:$8,"&lt;="&amp;CE$9,условия!$9:$9,"&gt;="&amp;CE$9)</f>
        <v>1149.1583000000001</v>
      </c>
      <c r="CF93" s="33">
        <f>CE93+IF(CF1=$Q$53,условия!$Q$136*SUMIFS(условия!$138:$138,условия!$8:$8,"&lt;="&amp;CF$9,условия!$9:$9,"&gt;="&amp;CF$9),0)+CF51*условия!$Q$136*SUMIFS(условия!$138:$138,условия!$8:$8,"&lt;="&amp;CF$9,условия!$9:$9,"&gt;="&amp;CF$9)</f>
        <v>1149.1583000000001</v>
      </c>
      <c r="CG93" s="33">
        <f>CF93+IF(CG1=$Q$53,условия!$Q$136*SUMIFS(условия!$138:$138,условия!$8:$8,"&lt;="&amp;CG$9,условия!$9:$9,"&gt;="&amp;CG$9),0)+CG51*условия!$Q$136*SUMIFS(условия!$138:$138,условия!$8:$8,"&lt;="&amp;CG$9,условия!$9:$9,"&gt;="&amp;CG$9)</f>
        <v>1149.1583000000001</v>
      </c>
      <c r="CH93" s="33">
        <f>CG93+IF(CH1=$Q$53,условия!$Q$136*SUMIFS(условия!$138:$138,условия!$8:$8,"&lt;="&amp;CH$9,условия!$9:$9,"&gt;="&amp;CH$9),0)+CH51*условия!$Q$136*SUMIFS(условия!$138:$138,условия!$8:$8,"&lt;="&amp;CH$9,условия!$9:$9,"&gt;="&amp;CH$9)</f>
        <v>1149.1583000000001</v>
      </c>
      <c r="CI93" s="33">
        <f>CH93+IF(CI1=$Q$53,условия!$Q$136*SUMIFS(условия!$138:$138,условия!$8:$8,"&lt;="&amp;CI$9,условия!$9:$9,"&gt;="&amp;CI$9),0)+CI51*условия!$Q$136*SUMIFS(условия!$138:$138,условия!$8:$8,"&lt;="&amp;CI$9,условия!$9:$9,"&gt;="&amp;CI$9)</f>
        <v>1149.1583000000001</v>
      </c>
      <c r="CJ93" s="33">
        <f>CI93+IF(CJ1=$Q$53,условия!$Q$136*SUMIFS(условия!$138:$138,условия!$8:$8,"&lt;="&amp;CJ$9,условия!$9:$9,"&gt;="&amp;CJ$9),0)+CJ51*условия!$Q$136*SUMIFS(условия!$138:$138,условия!$8:$8,"&lt;="&amp;CJ$9,условия!$9:$9,"&gt;="&amp;CJ$9)</f>
        <v>1149.1583000000001</v>
      </c>
      <c r="CK93" s="33">
        <f>CJ93+IF(CK1=$Q$53,условия!$Q$136*SUMIFS(условия!$138:$138,условия!$8:$8,"&lt;="&amp;CK$9,условия!$9:$9,"&gt;="&amp;CK$9),0)+CK51*условия!$Q$136*SUMIFS(условия!$138:$138,условия!$8:$8,"&lt;="&amp;CK$9,условия!$9:$9,"&gt;="&amp;CK$9)</f>
        <v>1149.1583000000001</v>
      </c>
      <c r="CL93" s="33">
        <f>CK93+IF(CL1=$Q$53,условия!$Q$136*SUMIFS(условия!$138:$138,условия!$8:$8,"&lt;="&amp;CL$9,условия!$9:$9,"&gt;="&amp;CL$9),0)+CL51*условия!$Q$136*SUMIFS(условия!$138:$138,условия!$8:$8,"&lt;="&amp;CL$9,условия!$9:$9,"&gt;="&amp;CL$9)</f>
        <v>1149.1583000000001</v>
      </c>
      <c r="CM93" s="33">
        <f>CL93+IF(CM1=$Q$53,условия!$Q$136*SUMIFS(условия!$138:$138,условия!$8:$8,"&lt;="&amp;CM$9,условия!$9:$9,"&gt;="&amp;CM$9),0)+CM51*условия!$Q$136*SUMIFS(условия!$138:$138,условия!$8:$8,"&lt;="&amp;CM$9,условия!$9:$9,"&gt;="&amp;CM$9)</f>
        <v>1149.1583000000001</v>
      </c>
      <c r="CN93" s="33">
        <f>CM93+IF(CN1=$Q$53,условия!$Q$136*SUMIFS(условия!$138:$138,условия!$8:$8,"&lt;="&amp;CN$9,условия!$9:$9,"&gt;="&amp;CN$9),0)+CN51*условия!$Q$136*SUMIFS(условия!$138:$138,условия!$8:$8,"&lt;="&amp;CN$9,условия!$9:$9,"&gt;="&amp;CN$9)</f>
        <v>1149.1583000000001</v>
      </c>
      <c r="CO93" s="33">
        <f>CN93+IF(CO1=$Q$53,условия!$Q$136*SUMIFS(условия!$138:$138,условия!$8:$8,"&lt;="&amp;CO$9,условия!$9:$9,"&gt;="&amp;CO$9),0)+CO51*условия!$Q$136*SUMIFS(условия!$138:$138,условия!$8:$8,"&lt;="&amp;CO$9,условия!$9:$9,"&gt;="&amp;CO$9)</f>
        <v>1149.1583000000001</v>
      </c>
      <c r="CP93" s="33">
        <f>CO93+IF(CP1=$Q$53,условия!$Q$136*SUMIFS(условия!$138:$138,условия!$8:$8,"&lt;="&amp;CP$9,условия!$9:$9,"&gt;="&amp;CP$9),0)+CP51*условия!$Q$136*SUMIFS(условия!$138:$138,условия!$8:$8,"&lt;="&amp;CP$9,условия!$9:$9,"&gt;="&amp;CP$9)</f>
        <v>1149.1583000000001</v>
      </c>
      <c r="CQ93" s="33">
        <f>CP93+IF(CQ1=$Q$53,условия!$Q$136*SUMIFS(условия!$138:$138,условия!$8:$8,"&lt;="&amp;CQ$9,условия!$9:$9,"&gt;="&amp;CQ$9),0)+CQ51*условия!$Q$136*SUMIFS(условия!$138:$138,условия!$8:$8,"&lt;="&amp;CQ$9,условия!$9:$9,"&gt;="&amp;CQ$9)</f>
        <v>1149.1583000000001</v>
      </c>
      <c r="CR93" s="33">
        <f>CQ93+IF(CR1=$Q$53,условия!$Q$136*SUMIFS(условия!$138:$138,условия!$8:$8,"&lt;="&amp;CR$9,условия!$9:$9,"&gt;="&amp;CR$9),0)+CR51*условия!$Q$136*SUMIFS(условия!$138:$138,условия!$8:$8,"&lt;="&amp;CR$9,условия!$9:$9,"&gt;="&amp;CR$9)</f>
        <v>1149.1583000000001</v>
      </c>
      <c r="CS93" s="33">
        <f>CR93+IF(CS1=$Q$53,условия!$Q$136*SUMIFS(условия!$138:$138,условия!$8:$8,"&lt;="&amp;CS$9,условия!$9:$9,"&gt;="&amp;CS$9),0)+CS51*условия!$Q$136*SUMIFS(условия!$138:$138,условия!$8:$8,"&lt;="&amp;CS$9,условия!$9:$9,"&gt;="&amp;CS$9)</f>
        <v>1149.1583000000001</v>
      </c>
      <c r="CT93" s="33">
        <f>CS93+IF(CT1=$Q$53,условия!$Q$136*SUMIFS(условия!$138:$138,условия!$8:$8,"&lt;="&amp;CT$9,условия!$9:$9,"&gt;="&amp;CT$9),0)+CT51*условия!$Q$136*SUMIFS(условия!$138:$138,условия!$8:$8,"&lt;="&amp;CT$9,условия!$9:$9,"&gt;="&amp;CT$9)</f>
        <v>1149.1583000000001</v>
      </c>
      <c r="CU93" s="33">
        <f>CT93+IF(CU1=$Q$53,условия!$Q$136*SUMIFS(условия!$138:$138,условия!$8:$8,"&lt;="&amp;CU$9,условия!$9:$9,"&gt;="&amp;CU$9),0)+CU51*условия!$Q$136*SUMIFS(условия!$138:$138,условия!$8:$8,"&lt;="&amp;CU$9,условия!$9:$9,"&gt;="&amp;CU$9)</f>
        <v>1149.1583000000001</v>
      </c>
      <c r="CV93" s="33">
        <f>CU93+IF(CV1=$Q$53,условия!$Q$136*SUMIFS(условия!$138:$138,условия!$8:$8,"&lt;="&amp;CV$9,условия!$9:$9,"&gt;="&amp;CV$9),0)+CV51*условия!$Q$136*SUMIFS(условия!$138:$138,условия!$8:$8,"&lt;="&amp;CV$9,условия!$9:$9,"&gt;="&amp;CV$9)</f>
        <v>1149.1583000000001</v>
      </c>
      <c r="CW93" s="33">
        <f>CV93+IF(CW1=$Q$53,условия!$Q$136*SUMIFS(условия!$138:$138,условия!$8:$8,"&lt;="&amp;CW$9,условия!$9:$9,"&gt;="&amp;CW$9),0)+CW51*условия!$Q$136*SUMIFS(условия!$138:$138,условия!$8:$8,"&lt;="&amp;CW$9,условия!$9:$9,"&gt;="&amp;CW$9)</f>
        <v>1149.1583000000001</v>
      </c>
      <c r="CX93" s="33">
        <f>CW93+IF(CX1=$Q$53,условия!$Q$136*SUMIFS(условия!$138:$138,условия!$8:$8,"&lt;="&amp;CX$9,условия!$9:$9,"&gt;="&amp;CX$9),0)+CX51*условия!$Q$136*SUMIFS(условия!$138:$138,условия!$8:$8,"&lt;="&amp;CX$9,условия!$9:$9,"&gt;="&amp;CX$9)</f>
        <v>1149.1583000000001</v>
      </c>
      <c r="CY93" s="33">
        <f>CX93+IF(CY1=$Q$53,условия!$Q$136*SUMIFS(условия!$138:$138,условия!$8:$8,"&lt;="&amp;CY$9,условия!$9:$9,"&gt;="&amp;CY$9),0)+CY51*условия!$Q$136*SUMIFS(условия!$138:$138,условия!$8:$8,"&lt;="&amp;CY$9,условия!$9:$9,"&gt;="&amp;CY$9)</f>
        <v>1149.1583000000001</v>
      </c>
      <c r="CZ93" s="33">
        <f>CY93+IF(CZ1=$Q$53,условия!$Q$136*SUMIFS(условия!$138:$138,условия!$8:$8,"&lt;="&amp;CZ$9,условия!$9:$9,"&gt;="&amp;CZ$9),0)+CZ51*условия!$Q$136*SUMIFS(условия!$138:$138,условия!$8:$8,"&lt;="&amp;CZ$9,условия!$9:$9,"&gt;="&amp;CZ$9)</f>
        <v>1149.1583000000001</v>
      </c>
      <c r="DA93" s="33">
        <f>CZ93+IF(DA1=$Q$53,условия!$Q$136*SUMIFS(условия!$138:$138,условия!$8:$8,"&lt;="&amp;DA$9,условия!$9:$9,"&gt;="&amp;DA$9),0)+DA51*условия!$Q$136*SUMIFS(условия!$138:$138,условия!$8:$8,"&lt;="&amp;DA$9,условия!$9:$9,"&gt;="&amp;DA$9)</f>
        <v>1149.1583000000001</v>
      </c>
      <c r="DB93" s="33">
        <f>DA93+IF(DB1=$Q$53,условия!$Q$136*SUMIFS(условия!$138:$138,условия!$8:$8,"&lt;="&amp;DB$9,условия!$9:$9,"&gt;="&amp;DB$9),0)+DB51*условия!$Q$136*SUMIFS(условия!$138:$138,условия!$8:$8,"&lt;="&amp;DB$9,условия!$9:$9,"&gt;="&amp;DB$9)</f>
        <v>1149.1583000000001</v>
      </c>
      <c r="DC93" s="33">
        <f>DB93+IF(DC1=$Q$53,условия!$Q$136*SUMIFS(условия!$138:$138,условия!$8:$8,"&lt;="&amp;DC$9,условия!$9:$9,"&gt;="&amp;DC$9),0)+DC51*условия!$Q$136*SUMIFS(условия!$138:$138,условия!$8:$8,"&lt;="&amp;DC$9,условия!$9:$9,"&gt;="&amp;DC$9)</f>
        <v>1149.1583000000001</v>
      </c>
      <c r="DD93" s="33">
        <f>DC93+IF(DD1=$Q$53,условия!$Q$136*SUMIFS(условия!$138:$138,условия!$8:$8,"&lt;="&amp;DD$9,условия!$9:$9,"&gt;="&amp;DD$9),0)+DD51*условия!$Q$136*SUMIFS(условия!$138:$138,условия!$8:$8,"&lt;="&amp;DD$9,условия!$9:$9,"&gt;="&amp;DD$9)</f>
        <v>1149.1583000000001</v>
      </c>
      <c r="DE93" s="33">
        <f>DD93+IF(DE1=$Q$53,условия!$Q$136*SUMIFS(условия!$138:$138,условия!$8:$8,"&lt;="&amp;DE$9,условия!$9:$9,"&gt;="&amp;DE$9),0)+DE51*условия!$Q$136*SUMIFS(условия!$138:$138,условия!$8:$8,"&lt;="&amp;DE$9,условия!$9:$9,"&gt;="&amp;DE$9)</f>
        <v>1149.1583000000001</v>
      </c>
      <c r="DF93" s="33">
        <f>DE93+IF(DF1=$Q$53,условия!$Q$136*SUMIFS(условия!$138:$138,условия!$8:$8,"&lt;="&amp;DF$9,условия!$9:$9,"&gt;="&amp;DF$9),0)+DF51*условия!$Q$136*SUMIFS(условия!$138:$138,условия!$8:$8,"&lt;="&amp;DF$9,условия!$9:$9,"&gt;="&amp;DF$9)</f>
        <v>1149.1583000000001</v>
      </c>
      <c r="DG93" s="33">
        <f>DF93+IF(DG1=$Q$53,условия!$Q$136*SUMIFS(условия!$138:$138,условия!$8:$8,"&lt;="&amp;DG$9,условия!$9:$9,"&gt;="&amp;DG$9),0)+DG51*условия!$Q$136*SUMIFS(условия!$138:$138,условия!$8:$8,"&lt;="&amp;DG$9,условия!$9:$9,"&gt;="&amp;DG$9)</f>
        <v>1149.1583000000001</v>
      </c>
      <c r="DH93" s="33">
        <f>DG93+IF(DH1=$Q$53,условия!$Q$136*SUMIFS(условия!$138:$138,условия!$8:$8,"&lt;="&amp;DH$9,условия!$9:$9,"&gt;="&amp;DH$9),0)+DH51*условия!$Q$136*SUMIFS(условия!$138:$138,условия!$8:$8,"&lt;="&amp;DH$9,условия!$9:$9,"&gt;="&amp;DH$9)</f>
        <v>1149.1583000000001</v>
      </c>
      <c r="DI93" s="33">
        <f>DH93+IF(DI1=$Q$53,условия!$Q$136*SUMIFS(условия!$138:$138,условия!$8:$8,"&lt;="&amp;DI$9,условия!$9:$9,"&gt;="&amp;DI$9),0)+DI51*условия!$Q$136*SUMIFS(условия!$138:$138,условия!$8:$8,"&lt;="&amp;DI$9,условия!$9:$9,"&gt;="&amp;DI$9)</f>
        <v>1149.1583000000001</v>
      </c>
      <c r="DJ93" s="33">
        <f>DI93+IF(DJ1=$Q$53,условия!$Q$136*SUMIFS(условия!$138:$138,условия!$8:$8,"&lt;="&amp;DJ$9,условия!$9:$9,"&gt;="&amp;DJ$9),0)+DJ51*условия!$Q$136*SUMIFS(условия!$138:$138,условия!$8:$8,"&lt;="&amp;DJ$9,условия!$9:$9,"&gt;="&amp;DJ$9)</f>
        <v>1900.5720154160003</v>
      </c>
      <c r="DK93" s="33">
        <f>DJ93+IF(DK1=$Q$53,условия!$Q$136*SUMIFS(условия!$138:$138,условия!$8:$8,"&lt;="&amp;DK$9,условия!$9:$9,"&gt;="&amp;DK$9),0)+DK51*условия!$Q$136*SUMIFS(условия!$138:$138,условия!$8:$8,"&lt;="&amp;DK$9,условия!$9:$9,"&gt;="&amp;DK$9)</f>
        <v>1900.5720154160003</v>
      </c>
      <c r="DL93" s="33">
        <f>DK93+IF(DL1=$Q$53,условия!$Q$136*SUMIFS(условия!$138:$138,условия!$8:$8,"&lt;="&amp;DL$9,условия!$9:$9,"&gt;="&amp;DL$9),0)+DL51*условия!$Q$136*SUMIFS(условия!$138:$138,условия!$8:$8,"&lt;="&amp;DL$9,условия!$9:$9,"&gt;="&amp;DL$9)</f>
        <v>1900.5720154160003</v>
      </c>
      <c r="DM93" s="33">
        <f>DL93+IF(DM1=$Q$53,условия!$Q$136*SUMIFS(условия!$138:$138,условия!$8:$8,"&lt;="&amp;DM$9,условия!$9:$9,"&gt;="&amp;DM$9),0)+DM51*условия!$Q$136*SUMIFS(условия!$138:$138,условия!$8:$8,"&lt;="&amp;DM$9,условия!$9:$9,"&gt;="&amp;DM$9)</f>
        <v>1900.5720154160003</v>
      </c>
      <c r="DN93" s="33">
        <f>DM93+IF(DN1=$Q$53,условия!$Q$136*SUMIFS(условия!$138:$138,условия!$8:$8,"&lt;="&amp;DN$9,условия!$9:$9,"&gt;="&amp;DN$9),0)+DN51*условия!$Q$136*SUMIFS(условия!$138:$138,условия!$8:$8,"&lt;="&amp;DN$9,условия!$9:$9,"&gt;="&amp;DN$9)</f>
        <v>1900.5720154160003</v>
      </c>
      <c r="DO93" s="33">
        <f>DN93+IF(DO1=$Q$53,условия!$Q$136*SUMIFS(условия!$138:$138,условия!$8:$8,"&lt;="&amp;DO$9,условия!$9:$9,"&gt;="&amp;DO$9),0)+DO51*условия!$Q$136*SUMIFS(условия!$138:$138,условия!$8:$8,"&lt;="&amp;DO$9,условия!$9:$9,"&gt;="&amp;DO$9)</f>
        <v>1900.5720154160003</v>
      </c>
      <c r="DP93" s="33">
        <f>DO93+IF(DP1=$Q$53,условия!$Q$136*SUMIFS(условия!$138:$138,условия!$8:$8,"&lt;="&amp;DP$9,условия!$9:$9,"&gt;="&amp;DP$9),0)+DP51*условия!$Q$136*SUMIFS(условия!$138:$138,условия!$8:$8,"&lt;="&amp;DP$9,условия!$9:$9,"&gt;="&amp;DP$9)</f>
        <v>1900.5720154160003</v>
      </c>
      <c r="DQ93" s="33">
        <f>DP93+IF(DQ1=$Q$53,условия!$Q$136*SUMIFS(условия!$138:$138,условия!$8:$8,"&lt;="&amp;DQ$9,условия!$9:$9,"&gt;="&amp;DQ$9),0)+DQ51*условия!$Q$136*SUMIFS(условия!$138:$138,условия!$8:$8,"&lt;="&amp;DQ$9,условия!$9:$9,"&gt;="&amp;DQ$9)</f>
        <v>1900.5720154160003</v>
      </c>
      <c r="DR93" s="33">
        <f>DQ93+IF(DR1=$Q$53,условия!$Q$136*SUMIFS(условия!$138:$138,условия!$8:$8,"&lt;="&amp;DR$9,условия!$9:$9,"&gt;="&amp;DR$9),0)+DR51*условия!$Q$136*SUMIFS(условия!$138:$138,условия!$8:$8,"&lt;="&amp;DR$9,условия!$9:$9,"&gt;="&amp;DR$9)</f>
        <v>1900.5720154160003</v>
      </c>
      <c r="DS93" s="33">
        <f>DR93+IF(DS1=$Q$53,условия!$Q$136*SUMIFS(условия!$138:$138,условия!$8:$8,"&lt;="&amp;DS$9,условия!$9:$9,"&gt;="&amp;DS$9),0)+DS51*условия!$Q$136*SUMIFS(условия!$138:$138,условия!$8:$8,"&lt;="&amp;DS$9,условия!$9:$9,"&gt;="&amp;DS$9)</f>
        <v>1900.5720154160003</v>
      </c>
      <c r="DT93" s="33">
        <f>DS93+IF(DT1=$Q$53,условия!$Q$136*SUMIFS(условия!$138:$138,условия!$8:$8,"&lt;="&amp;DT$9,условия!$9:$9,"&gt;="&amp;DT$9),0)+DT51*условия!$Q$136*SUMIFS(условия!$138:$138,условия!$8:$8,"&lt;="&amp;DT$9,условия!$9:$9,"&gt;="&amp;DT$9)</f>
        <v>1900.5720154160003</v>
      </c>
      <c r="DU93" s="33">
        <f>DT93+IF(DU1=$Q$53,условия!$Q$136*SUMIFS(условия!$138:$138,условия!$8:$8,"&lt;="&amp;DU$9,условия!$9:$9,"&gt;="&amp;DU$9),0)+DU51*условия!$Q$136*SUMIFS(условия!$138:$138,условия!$8:$8,"&lt;="&amp;DU$9,условия!$9:$9,"&gt;="&amp;DU$9)</f>
        <v>1900.5720154160003</v>
      </c>
      <c r="DV93" s="33">
        <f>DU93+IF(DV1=$Q$53,условия!$Q$136*SUMIFS(условия!$138:$138,условия!$8:$8,"&lt;="&amp;DV$9,условия!$9:$9,"&gt;="&amp;DV$9),0)+DV51*условия!$Q$136*SUMIFS(условия!$138:$138,условия!$8:$8,"&lt;="&amp;DV$9,условия!$9:$9,"&gt;="&amp;DV$9)</f>
        <v>1900.5720154160003</v>
      </c>
      <c r="DW93" s="33">
        <f>DV93+IF(DW1=$Q$53,условия!$Q$136*SUMIFS(условия!$138:$138,условия!$8:$8,"&lt;="&amp;DW$9,условия!$9:$9,"&gt;="&amp;DW$9),0)+DW51*условия!$Q$136*SUMIFS(условия!$138:$138,условия!$8:$8,"&lt;="&amp;DW$9,условия!$9:$9,"&gt;="&amp;DW$9)</f>
        <v>1900.5720154160003</v>
      </c>
      <c r="DX93" s="33">
        <f>DW93+IF(DX1=$Q$53,условия!$Q$136*SUMIFS(условия!$138:$138,условия!$8:$8,"&lt;="&amp;DX$9,условия!$9:$9,"&gt;="&amp;DX$9),0)+DX51*условия!$Q$136*SUMIFS(условия!$138:$138,условия!$8:$8,"&lt;="&amp;DX$9,условия!$9:$9,"&gt;="&amp;DX$9)</f>
        <v>1900.5720154160003</v>
      </c>
      <c r="DY93" s="33">
        <f>DX93+IF(DY1=$Q$53,условия!$Q$136*SUMIFS(условия!$138:$138,условия!$8:$8,"&lt;="&amp;DY$9,условия!$9:$9,"&gt;="&amp;DY$9),0)+DY51*условия!$Q$136*SUMIFS(условия!$138:$138,условия!$8:$8,"&lt;="&amp;DY$9,условия!$9:$9,"&gt;="&amp;DY$9)</f>
        <v>1900.5720154160003</v>
      </c>
      <c r="DZ93" s="33">
        <f>DY93+IF(DZ1=$Q$53,условия!$Q$136*SUMIFS(условия!$138:$138,условия!$8:$8,"&lt;="&amp;DZ$9,условия!$9:$9,"&gt;="&amp;DZ$9),0)+DZ51*условия!$Q$136*SUMIFS(условия!$138:$138,условия!$8:$8,"&lt;="&amp;DZ$9,условия!$9:$9,"&gt;="&amp;DZ$9)</f>
        <v>1900.5720154160003</v>
      </c>
      <c r="EA93" s="33">
        <f>DZ93+IF(EA1=$Q$53,условия!$Q$136*SUMIFS(условия!$138:$138,условия!$8:$8,"&lt;="&amp;EA$9,условия!$9:$9,"&gt;="&amp;EA$9),0)+EA51*условия!$Q$136*SUMIFS(условия!$138:$138,условия!$8:$8,"&lt;="&amp;EA$9,условия!$9:$9,"&gt;="&amp;EA$9)</f>
        <v>1900.5720154160003</v>
      </c>
      <c r="EB93" s="33">
        <f>EA93+IF(EB1=$Q$53,условия!$Q$136*SUMIFS(условия!$138:$138,условия!$8:$8,"&lt;="&amp;EB$9,условия!$9:$9,"&gt;="&amp;EB$9),0)+EB51*условия!$Q$136*SUMIFS(условия!$138:$138,условия!$8:$8,"&lt;="&amp;EB$9,условия!$9:$9,"&gt;="&amp;EB$9)</f>
        <v>1900.5720154160003</v>
      </c>
      <c r="EC93" s="33">
        <f>EB93+IF(EC1=$Q$53,условия!$Q$136*SUMIFS(условия!$138:$138,условия!$8:$8,"&lt;="&amp;EC$9,условия!$9:$9,"&gt;="&amp;EC$9),0)+EC51*условия!$Q$136*SUMIFS(условия!$138:$138,условия!$8:$8,"&lt;="&amp;EC$9,условия!$9:$9,"&gt;="&amp;EC$9)</f>
        <v>1900.5720154160003</v>
      </c>
      <c r="ED93" s="33">
        <f>EC93+IF(ED1=$Q$53,условия!$Q$136*SUMIFS(условия!$138:$138,условия!$8:$8,"&lt;="&amp;ED$9,условия!$9:$9,"&gt;="&amp;ED$9),0)+ED51*условия!$Q$136*SUMIFS(условия!$138:$138,условия!$8:$8,"&lt;="&amp;ED$9,условия!$9:$9,"&gt;="&amp;ED$9)</f>
        <v>1900.5720154160003</v>
      </c>
      <c r="EE93" s="33">
        <f>ED93+IF(EE1=$Q$53,условия!$Q$136*SUMIFS(условия!$138:$138,условия!$8:$8,"&lt;="&amp;EE$9,условия!$9:$9,"&gt;="&amp;EE$9),0)+EE51*условия!$Q$136*SUMIFS(условия!$138:$138,условия!$8:$8,"&lt;="&amp;EE$9,условия!$9:$9,"&gt;="&amp;EE$9)</f>
        <v>1900.5720154160003</v>
      </c>
      <c r="EF93" s="33">
        <f>EE93+IF(EF1=$Q$53,условия!$Q$136*SUMIFS(условия!$138:$138,условия!$8:$8,"&lt;="&amp;EF$9,условия!$9:$9,"&gt;="&amp;EF$9),0)+EF51*условия!$Q$136*SUMIFS(условия!$138:$138,условия!$8:$8,"&lt;="&amp;EF$9,условия!$9:$9,"&gt;="&amp;EF$9)</f>
        <v>1900.5720154160003</v>
      </c>
      <c r="EG93" s="33">
        <f>EF93+IF(EG1=$Q$53,условия!$Q$136*SUMIFS(условия!$138:$138,условия!$8:$8,"&lt;="&amp;EG$9,условия!$9:$9,"&gt;="&amp;EG$9),0)+EG51*условия!$Q$136*SUMIFS(условия!$138:$138,условия!$8:$8,"&lt;="&amp;EG$9,условия!$9:$9,"&gt;="&amp;EG$9)</f>
        <v>1900.5720154160003</v>
      </c>
      <c r="EH93" s="33">
        <f>EG93+IF(EH1=$Q$53,условия!$Q$136*SUMIFS(условия!$138:$138,условия!$8:$8,"&lt;="&amp;EH$9,условия!$9:$9,"&gt;="&amp;EH$9),0)+EH51*условия!$Q$136*SUMIFS(условия!$138:$138,условия!$8:$8,"&lt;="&amp;EH$9,условия!$9:$9,"&gt;="&amp;EH$9)</f>
        <v>1900.5720154160003</v>
      </c>
      <c r="EI93" s="33">
        <f>EH93+IF(EI1=$Q$53,условия!$Q$136*SUMIFS(условия!$138:$138,условия!$8:$8,"&lt;="&amp;EI$9,условия!$9:$9,"&gt;="&amp;EI$9),0)+EI51*условия!$Q$136*SUMIFS(условия!$138:$138,условия!$8:$8,"&lt;="&amp;EI$9,условия!$9:$9,"&gt;="&amp;EI$9)</f>
        <v>1900.5720154160003</v>
      </c>
      <c r="EJ93" s="3"/>
      <c r="EK93" s="3"/>
    </row>
    <row r="94" spans="1:14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</row>
    <row r="95" spans="1:141" x14ac:dyDescent="0.25">
      <c r="A95" s="3"/>
      <c r="B95" s="3"/>
      <c r="C95" s="3"/>
      <c r="D95" s="3"/>
      <c r="E95" s="3"/>
      <c r="F95" s="10" t="str">
        <f>KPI!$F$92</f>
        <v>переменный ФОТ производственного персонала</v>
      </c>
      <c r="G95" s="3"/>
      <c r="H95" s="3"/>
      <c r="I95" s="3"/>
      <c r="J95" s="5" t="str">
        <f>IF($F95="","",INDEX(KPI!$I$11:$I$275,SUMIFS(KPI!$E$11:$E$275,KPI!$F$11:$F$275,$F95)))</f>
        <v>тыс.руб.</v>
      </c>
      <c r="K95" s="3"/>
      <c r="L95" s="3"/>
      <c r="M95" s="3"/>
      <c r="N95" s="3"/>
      <c r="O95" s="3"/>
      <c r="P95" s="3"/>
      <c r="Q95" s="12">
        <f>SUM(S95:EJ95)</f>
        <v>41234.427741328611</v>
      </c>
      <c r="R95" s="3"/>
      <c r="S95" s="55"/>
      <c r="T95" s="33">
        <f>IF(условия!$Q$52*условия!$Q$140=0,0,(IF(T25&lt;0,0,T25)/(условия!$Q$52*условия!$Q$140))*условия!$Q$142*SUMIFS(условия!$144:$144,условия!$8:$8,"&lt;="&amp;T$9,условия!$9:$9,"&gt;="&amp;T$9))</f>
        <v>0</v>
      </c>
      <c r="U95" s="33">
        <f>IF(условия!$Q$52*условия!$Q$140=0,0,(IF(U25&lt;0,0,U25)/(условия!$Q$52*условия!$Q$140))*условия!$Q$142*SUMIFS(условия!$144:$144,условия!$8:$8,"&lt;="&amp;U$9,условия!$9:$9,"&gt;="&amp;U$9))</f>
        <v>0</v>
      </c>
      <c r="V95" s="33">
        <f>IF(условия!$Q$52*условия!$Q$140=0,0,(IF(V25&lt;0,0,V25)/(условия!$Q$52*условия!$Q$140))*условия!$Q$142*SUMIFS(условия!$144:$144,условия!$8:$8,"&lt;="&amp;V$9,условия!$9:$9,"&gt;="&amp;V$9))</f>
        <v>0</v>
      </c>
      <c r="W95" s="33">
        <f>IF(условия!$Q$52*условия!$Q$140=0,0,(IF(W25&lt;0,0,W25)/(условия!$Q$52*условия!$Q$140))*условия!$Q$142*SUMIFS(условия!$144:$144,условия!$8:$8,"&lt;="&amp;W$9,условия!$9:$9,"&gt;="&amp;W$9))</f>
        <v>0</v>
      </c>
      <c r="X95" s="33">
        <f>IF(условия!$Q$52*условия!$Q$140=0,0,(IF(X25&lt;0,0,X25)/(условия!$Q$52*условия!$Q$140))*условия!$Q$142*SUMIFS(условия!$144:$144,условия!$8:$8,"&lt;="&amp;X$9,условия!$9:$9,"&gt;="&amp;X$9))</f>
        <v>15.096774193548388</v>
      </c>
      <c r="Y95" s="33">
        <f>IF(условия!$Q$52*условия!$Q$140=0,0,(IF(Y25&lt;0,0,Y25)/(условия!$Q$52*условия!$Q$140))*условия!$Q$142*SUMIFS(условия!$144:$144,условия!$8:$8,"&lt;="&amp;Y$9,условия!$9:$9,"&gt;="&amp;Y$9))</f>
        <v>0</v>
      </c>
      <c r="Z95" s="33">
        <f>IF(условия!$Q$52*условия!$Q$140=0,0,(IF(Z25&lt;0,0,Z25)/(условия!$Q$52*условия!$Q$140))*условия!$Q$142*SUMIFS(условия!$144:$144,условия!$8:$8,"&lt;="&amp;Z$9,условия!$9:$9,"&gt;="&amp;Z$9))</f>
        <v>1.2442396313364048</v>
      </c>
      <c r="AA95" s="33">
        <f>IF(условия!$Q$52*условия!$Q$140=0,0,(IF(AA25&lt;0,0,AA25)/(условия!$Q$52*условия!$Q$140))*условия!$Q$142*SUMIFS(условия!$144:$144,условия!$8:$8,"&lt;="&amp;AA$9,условия!$9:$9,"&gt;="&amp;AA$9))</f>
        <v>9.8433179723502313</v>
      </c>
      <c r="AB95" s="33">
        <f>IF(условия!$Q$52*условия!$Q$140=0,0,(IF(AB25&lt;0,0,AB25)/(условия!$Q$52*условия!$Q$140))*условия!$Q$142*SUMIFS(условия!$144:$144,условия!$8:$8,"&lt;="&amp;AB$9,условия!$9:$9,"&gt;="&amp;AB$9))</f>
        <v>8.4884792626728096</v>
      </c>
      <c r="AC95" s="33">
        <f>IF(условия!$Q$52*условия!$Q$140=0,0,(IF(AC25&lt;0,0,AC25)/(условия!$Q$52*условия!$Q$140))*условия!$Q$142*SUMIFS(условия!$144:$144,условия!$8:$8,"&lt;="&amp;AC$9,условия!$9:$9,"&gt;="&amp;AC$9))</f>
        <v>13.990783410138249</v>
      </c>
      <c r="AD95" s="33">
        <f>IF(условия!$Q$52*условия!$Q$140=0,0,(IF(AD25&lt;0,0,AD25)/(условия!$Q$52*условия!$Q$140))*условия!$Q$142*SUMIFS(условия!$144:$144,условия!$8:$8,"&lt;="&amp;AD$9,условия!$9:$9,"&gt;="&amp;AD$9))</f>
        <v>14.958525345622117</v>
      </c>
      <c r="AE95" s="33">
        <f>IF(условия!$Q$52*условия!$Q$140=0,0,(IF(AE25&lt;0,0,AE25)/(условия!$Q$52*условия!$Q$140))*условия!$Q$142*SUMIFS(условия!$144:$144,условия!$8:$8,"&lt;="&amp;AE$9,условия!$9:$9,"&gt;="&amp;AE$9))</f>
        <v>4.8940092165898657</v>
      </c>
      <c r="AF95" s="33">
        <f>IF(условия!$Q$52*условия!$Q$140=0,0,(IF(AF25&lt;0,0,AF25)/(условия!$Q$52*условия!$Q$140))*условия!$Q$142*SUMIFS(условия!$144:$144,условия!$8:$8,"&lt;="&amp;AF$9,условия!$9:$9,"&gt;="&amp;AF$9))</f>
        <v>40.981935483870963</v>
      </c>
      <c r="AG95" s="33">
        <f>IF(условия!$Q$52*условия!$Q$140=0,0,(IF(AG25&lt;0,0,AG25)/(условия!$Q$52*условия!$Q$140))*условия!$Q$142*SUMIFS(условия!$144:$144,условия!$8:$8,"&lt;="&amp;AG$9,условия!$9:$9,"&gt;="&amp;AG$9))</f>
        <v>12.112258064516126</v>
      </c>
      <c r="AH95" s="33">
        <f>IF(условия!$Q$52*условия!$Q$140=0,0,(IF(AH25&lt;0,0,AH25)/(условия!$Q$52*условия!$Q$140))*условия!$Q$142*SUMIFS(условия!$144:$144,условия!$8:$8,"&lt;="&amp;AH$9,условия!$9:$9,"&gt;="&amp;AH$9))</f>
        <v>38.055483870967748</v>
      </c>
      <c r="AI95" s="33">
        <f>IF(условия!$Q$52*условия!$Q$140=0,0,(IF(AI25&lt;0,0,AI25)/(условия!$Q$52*условия!$Q$140))*условия!$Q$142*SUMIFS(условия!$144:$144,условия!$8:$8,"&lt;="&amp;AI$9,условия!$9:$9,"&gt;="&amp;AI$9))</f>
        <v>15.456774193548382</v>
      </c>
      <c r="AJ95" s="33">
        <f>IF(условия!$Q$52*условия!$Q$140=0,0,(IF(AJ25&lt;0,0,AJ25)/(условия!$Q$52*условия!$Q$140))*условия!$Q$142*SUMIFS(условия!$144:$144,условия!$8:$8,"&lt;="&amp;AJ$9,условия!$9:$9,"&gt;="&amp;AJ$9))</f>
        <v>15.689032258064522</v>
      </c>
      <c r="AK95" s="33">
        <f>IF(условия!$Q$52*условия!$Q$140=0,0,(IF(AK25&lt;0,0,AK25)/(условия!$Q$52*условия!$Q$140))*условия!$Q$142*SUMIFS(условия!$144:$144,условия!$8:$8,"&lt;="&amp;AK$9,условия!$9:$9,"&gt;="&amp;AK$9))</f>
        <v>14.725161290322575</v>
      </c>
      <c r="AL95" s="33">
        <f>IF(условия!$Q$52*условия!$Q$140=0,0,(IF(AL25&lt;0,0,AL25)/(условия!$Q$52*условия!$Q$140))*условия!$Q$142*SUMIFS(условия!$144:$144,условия!$8:$8,"&lt;="&amp;AL$9,условия!$9:$9,"&gt;="&amp;AL$9))</f>
        <v>16.629677419354845</v>
      </c>
      <c r="AM95" s="33">
        <f>IF(условия!$Q$52*условия!$Q$140=0,0,(IF(AM25&lt;0,0,AM25)/(условия!$Q$52*условия!$Q$140))*условия!$Q$142*SUMIFS(условия!$144:$144,условия!$8:$8,"&lt;="&amp;AM$9,условия!$9:$9,"&gt;="&amp;AM$9))</f>
        <v>25.281290322580642</v>
      </c>
      <c r="AN95" s="33">
        <f>IF(условия!$Q$52*условия!$Q$140=0,0,(IF(AN25&lt;0,0,AN25)/(условия!$Q$52*условия!$Q$140))*условия!$Q$142*SUMIFS(условия!$144:$144,условия!$8:$8,"&lt;="&amp;AN$9,условия!$9:$9,"&gt;="&amp;AN$9))</f>
        <v>44.012903225806454</v>
      </c>
      <c r="AO95" s="33">
        <f>IF(условия!$Q$52*условия!$Q$140=0,0,(IF(AO25&lt;0,0,AO25)/(условия!$Q$52*условия!$Q$140))*условия!$Q$142*SUMIFS(условия!$144:$144,условия!$8:$8,"&lt;="&amp;AO$9,условия!$9:$9,"&gt;="&amp;AO$9))</f>
        <v>40.958709677419357</v>
      </c>
      <c r="AP95" s="33">
        <f>IF(условия!$Q$52*условия!$Q$140=0,0,(IF(AP25&lt;0,0,AP25)/(условия!$Q$52*условия!$Q$140))*условия!$Q$142*SUMIFS(условия!$144:$144,условия!$8:$8,"&lt;="&amp;AP$9,условия!$9:$9,"&gt;="&amp;AP$9))</f>
        <v>68.469677419354838</v>
      </c>
      <c r="AQ95" s="33">
        <f>IF(условия!$Q$52*условия!$Q$140=0,0,(IF(AQ25&lt;0,0,AQ25)/(условия!$Q$52*условия!$Q$140))*условия!$Q$142*SUMIFS(условия!$144:$144,условия!$8:$8,"&lt;="&amp;AQ$9,условия!$9:$9,"&gt;="&amp;AQ$9))</f>
        <v>6.5729032258064537</v>
      </c>
      <c r="AR95" s="33">
        <f>IF(условия!$Q$52*условия!$Q$140=0,0,(IF(AR25&lt;0,0,AR25)/(условия!$Q$52*условия!$Q$140))*условия!$Q$142*SUMIFS(условия!$144:$144,условия!$8:$8,"&lt;="&amp;AR$9,условия!$9:$9,"&gt;="&amp;AR$9))</f>
        <v>109.11100645161291</v>
      </c>
      <c r="AS95" s="33">
        <f>IF(условия!$Q$52*условия!$Q$140=0,0,(IF(AS25&lt;0,0,AS25)/(условия!$Q$52*условия!$Q$140))*условия!$Q$142*SUMIFS(условия!$144:$144,условия!$8:$8,"&lt;="&amp;AS$9,условия!$9:$9,"&gt;="&amp;AS$9))</f>
        <v>38.176219354838736</v>
      </c>
      <c r="AT95" s="33">
        <f>IF(условия!$Q$52*условия!$Q$140=0,0,(IF(AT25&lt;0,0,AT25)/(условия!$Q$52*условия!$Q$140))*условия!$Q$142*SUMIFS(условия!$144:$144,условия!$8:$8,"&lt;="&amp;AT$9,условия!$9:$9,"&gt;="&amp;AT$9))</f>
        <v>100.9928129032258</v>
      </c>
      <c r="AU95" s="33">
        <f>IF(условия!$Q$52*условия!$Q$140=0,0,(IF(AU25&lt;0,0,AU25)/(условия!$Q$52*условия!$Q$140))*условия!$Q$142*SUMIFS(условия!$144:$144,условия!$8:$8,"&lt;="&amp;AU$9,условия!$9:$9,"&gt;="&amp;AU$9))</f>
        <v>47.454154838709712</v>
      </c>
      <c r="AV95" s="33">
        <f>IF(условия!$Q$52*условия!$Q$140=0,0,(IF(AV25&lt;0,0,AV25)/(условия!$Q$52*условия!$Q$140))*условия!$Q$142*SUMIFS(условия!$144:$144,условия!$8:$8,"&lt;="&amp;AV$9,условия!$9:$9,"&gt;="&amp;AV$9))</f>
        <v>38.946619354838688</v>
      </c>
      <c r="AW95" s="33">
        <f>IF(условия!$Q$52*условия!$Q$140=0,0,(IF(AW25&lt;0,0,AW25)/(условия!$Q$52*условия!$Q$140))*условия!$Q$142*SUMIFS(условия!$144:$144,условия!$8:$8,"&lt;="&amp;AW$9,условия!$9:$9,"&gt;="&amp;AW$9))</f>
        <v>45.424606451612931</v>
      </c>
      <c r="AX95" s="33">
        <f>IF(условия!$Q$52*условия!$Q$140=0,0,(IF(AX25&lt;0,0,AX25)/(условия!$Q$52*условия!$Q$140))*условия!$Q$142*SUMIFS(условия!$144:$144,условия!$8:$8,"&lt;="&amp;AX$9,условия!$9:$9,"&gt;="&amp;AX$9))</f>
        <v>41.556038709677402</v>
      </c>
      <c r="AY95" s="33">
        <f>IF(условия!$Q$52*условия!$Q$140=0,0,(IF(AY25&lt;0,0,AY25)/(условия!$Q$52*условия!$Q$140))*условия!$Q$142*SUMIFS(условия!$144:$144,условия!$8:$8,"&lt;="&amp;AY$9,условия!$9:$9,"&gt;="&amp;AY$9))</f>
        <v>74.708090322580674</v>
      </c>
      <c r="AZ95" s="33">
        <f>IF(условия!$Q$52*условия!$Q$140=0,0,(IF(AZ25&lt;0,0,AZ25)/(условия!$Q$52*условия!$Q$140))*условия!$Q$142*SUMIFS(условия!$144:$144,условия!$8:$8,"&lt;="&amp;AZ$9,условия!$9:$9,"&gt;="&amp;AZ$9))</f>
        <v>117.51913548387095</v>
      </c>
      <c r="BA95" s="33">
        <f>IF(условия!$Q$52*условия!$Q$140=0,0,(IF(BA25&lt;0,0,BA25)/(условия!$Q$52*условия!$Q$140))*условия!$Q$142*SUMIFS(условия!$144:$144,условия!$8:$8,"&lt;="&amp;BA$9,условия!$9:$9,"&gt;="&amp;BA$9))</f>
        <v>118.19841290322586</v>
      </c>
      <c r="BB95" s="33">
        <f>IF(условия!$Q$52*условия!$Q$140=0,0,(IF(BB25&lt;0,0,BB25)/(условия!$Q$52*условия!$Q$140))*условия!$Q$142*SUMIFS(условия!$144:$144,условия!$8:$8,"&lt;="&amp;BB$9,условия!$9:$9,"&gt;="&amp;BB$9))</f>
        <v>185.36403870967737</v>
      </c>
      <c r="BC95" s="33">
        <f>IF(условия!$Q$52*условия!$Q$140=0,0,(IF(BC25&lt;0,0,BC25)/(условия!$Q$52*условия!$Q$140))*условия!$Q$142*SUMIFS(условия!$144:$144,условия!$8:$8,"&lt;="&amp;BC$9,условия!$9:$9,"&gt;="&amp;BC$9))</f>
        <v>22.809638709677476</v>
      </c>
      <c r="BD95" s="33">
        <f>IF(условия!$Q$52*условия!$Q$140=0,0,(IF(BD25&lt;0,0,BD25)/(условия!$Q$52*условия!$Q$140))*условия!$Q$142*SUMIFS(условия!$144:$144,условия!$8:$8,"&lt;="&amp;BD$9,условия!$9:$9,"&gt;="&amp;BD$9))</f>
        <v>177.88262632258068</v>
      </c>
      <c r="BE95" s="33">
        <f>IF(условия!$Q$52*условия!$Q$140=0,0,(IF(BE25&lt;0,0,BE25)/(условия!$Q$52*условия!$Q$140))*условия!$Q$142*SUMIFS(условия!$144:$144,условия!$8:$8,"&lt;="&amp;BE$9,условия!$9:$9,"&gt;="&amp;BE$9))</f>
        <v>110.95985076307025</v>
      </c>
      <c r="BF95" s="33">
        <f>IF(условия!$Q$52*условия!$Q$140=0,0,(IF(BF25&lt;0,0,BF25)/(условия!$Q$52*условия!$Q$140))*условия!$Q$142*SUMIFS(условия!$144:$144,условия!$8:$8,"&lt;="&amp;BF$9,условия!$9:$9,"&gt;="&amp;BF$9))</f>
        <v>180.27159473192427</v>
      </c>
      <c r="BG95" s="33">
        <f>IF(условия!$Q$52*условия!$Q$140=0,0,(IF(BG25&lt;0,0,BG25)/(условия!$Q$52*условия!$Q$140))*условия!$Q$142*SUMIFS(условия!$144:$144,условия!$8:$8,"&lt;="&amp;BG$9,условия!$9:$9,"&gt;="&amp;BG$9))</f>
        <v>120.3335149454952</v>
      </c>
      <c r="BH95" s="33">
        <f>IF(условия!$Q$52*условия!$Q$140=0,0,(IF(BH25&lt;0,0,BH25)/(условия!$Q$52*условия!$Q$140))*условия!$Q$142*SUMIFS(условия!$144:$144,условия!$8:$8,"&lt;="&amp;BH$9,условия!$9:$9,"&gt;="&amp;BH$9))</f>
        <v>54.628052796440357</v>
      </c>
      <c r="BI95" s="33">
        <f>IF(условия!$Q$52*условия!$Q$140=0,0,(IF(BI25&lt;0,0,BI25)/(условия!$Q$52*условия!$Q$140))*условия!$Q$142*SUMIFS(условия!$144:$144,условия!$8:$8,"&lt;="&amp;BI$9,условия!$9:$9,"&gt;="&amp;BI$9))</f>
        <v>116.22367946162426</v>
      </c>
      <c r="BJ95" s="33">
        <f>IF(условия!$Q$52*условия!$Q$140=0,0,(IF(BJ25&lt;0,0,BJ25)/(условия!$Q$52*условия!$Q$140))*условия!$Q$142*SUMIFS(условия!$144:$144,условия!$8:$8,"&lt;="&amp;BJ$9,условия!$9:$9,"&gt;="&amp;BJ$9))</f>
        <v>59.912126989988721</v>
      </c>
      <c r="BK95" s="33">
        <f>IF(условия!$Q$52*условия!$Q$140=0,0,(IF(BK25&lt;0,0,BK25)/(условия!$Q$52*условия!$Q$140))*условия!$Q$142*SUMIFS(условия!$144:$144,условия!$8:$8,"&lt;="&amp;BK$9,условия!$9:$9,"&gt;="&amp;BK$9))</f>
        <v>175.52273430033395</v>
      </c>
      <c r="BL95" s="33">
        <f>IF(условия!$Q$52*условия!$Q$140=0,0,(IF(BL25&lt;0,0,BL25)/(условия!$Q$52*условия!$Q$140))*условия!$Q$142*SUMIFS(условия!$144:$144,условия!$8:$8,"&lt;="&amp;BL$9,условия!$9:$9,"&gt;="&amp;BL$9))</f>
        <v>213.73739795773071</v>
      </c>
      <c r="BM95" s="33">
        <f>IF(условия!$Q$52*условия!$Q$140=0,0,(IF(BM25&lt;0,0,BM25)/(условия!$Q$52*условия!$Q$140))*условия!$Q$142*SUMIFS(условия!$144:$144,условия!$8:$8,"&lt;="&amp;BM$9,условия!$9:$9,"&gt;="&amp;BM$9))</f>
        <v>263.59063752614048</v>
      </c>
      <c r="BN95" s="33">
        <f>IF(условия!$Q$52*условия!$Q$140=0,0,(IF(BN25&lt;0,0,BN25)/(условия!$Q$52*условия!$Q$140))*условия!$Q$142*SUMIFS(условия!$144:$144,условия!$8:$8,"&lt;="&amp;BN$9,условия!$9:$9,"&gt;="&amp;BN$9))</f>
        <v>351.12332698998881</v>
      </c>
      <c r="BO95" s="33">
        <f>IF(условия!$Q$52*условия!$Q$140=0,0,(IF(BO25&lt;0,0,BO25)/(условия!$Q$52*условия!$Q$140))*условия!$Q$142*SUMIFS(условия!$144:$144,условия!$8:$8,"&lt;="&amp;BO$9,условия!$9:$9,"&gt;="&amp;BO$9))</f>
        <v>70.428369784204918</v>
      </c>
      <c r="BP95" s="33">
        <f>IF(условия!$Q$52*условия!$Q$140=0,0,(IF(BP25&lt;0,0,BP25)/(условия!$Q$52*условия!$Q$140))*условия!$Q$142*SUMIFS(условия!$144:$144,условия!$8:$8,"&lt;="&amp;BP$9,условия!$9:$9,"&gt;="&amp;BP$9))</f>
        <v>246.0916718341266</v>
      </c>
      <c r="BQ95" s="33">
        <f>IF(условия!$Q$52*условия!$Q$140=0,0,(IF(BQ25&lt;0,0,BQ25)/(условия!$Q$52*условия!$Q$140))*условия!$Q$142*SUMIFS(условия!$144:$144,условия!$8:$8,"&lt;="&amp;BQ$9,условия!$9:$9,"&gt;="&amp;BQ$9))</f>
        <v>317.36576651426083</v>
      </c>
      <c r="BR95" s="33">
        <f>IF(условия!$Q$52*условия!$Q$140=0,0,(IF(BR25&lt;0,0,BR25)/(условия!$Q$52*условия!$Q$140))*условия!$Q$142*SUMIFS(условия!$144:$144,условия!$8:$8,"&lt;="&amp;BR$9,условия!$9:$9,"&gt;="&amp;BR$9))</f>
        <v>231.15803942122321</v>
      </c>
      <c r="BS95" s="33">
        <f>IF(условия!$Q$52*условия!$Q$140=0,0,(IF(BS25&lt;0,0,BS25)/(условия!$Q$52*условия!$Q$140))*условия!$Q$142*SUMIFS(условия!$144:$144,условия!$8:$8,"&lt;="&amp;BS$9,условия!$9:$9,"&gt;="&amp;BS$9))</f>
        <v>353.93402024329311</v>
      </c>
      <c r="BT95" s="33">
        <f>IF(условия!$Q$52*условия!$Q$140=0,0,(IF(BT25&lt;0,0,BT25)/(условия!$Q$52*условия!$Q$140))*условия!$Q$142*SUMIFS(условия!$144:$144,условия!$8:$8,"&lt;="&amp;BT$9,условия!$9:$9,"&gt;="&amp;BT$9))</f>
        <v>14.428912608319935</v>
      </c>
      <c r="BU95" s="33">
        <f>IF(условия!$Q$52*условия!$Q$140=0,0,(IF(BU25&lt;0,0,BU25)/(условия!$Q$52*условия!$Q$140))*условия!$Q$142*SUMIFS(условия!$144:$144,условия!$8:$8,"&lt;="&amp;BU$9,условия!$9:$9,"&gt;="&amp;BU$9))</f>
        <v>329.42754654006728</v>
      </c>
      <c r="BV95" s="33">
        <f>IF(условия!$Q$52*условия!$Q$140=0,0,(IF(BV25&lt;0,0,BV25)/(условия!$Q$52*условия!$Q$140))*условия!$Q$142*SUMIFS(условия!$144:$144,условия!$8:$8,"&lt;="&amp;BV$9,условия!$9:$9,"&gt;="&amp;BV$9))</f>
        <v>17.109308169610241</v>
      </c>
      <c r="BW95" s="33">
        <f>IF(условия!$Q$52*условия!$Q$140=0,0,(IF(BW25&lt;0,0,BW25)/(условия!$Q$52*условия!$Q$140))*условия!$Q$142*SUMIFS(условия!$144:$144,условия!$8:$8,"&lt;="&amp;BW$9,условия!$9:$9,"&gt;="&amp;BW$9))</f>
        <v>432.04840517232537</v>
      </c>
      <c r="BX95" s="33">
        <f>IF(условия!$Q$52*условия!$Q$140=0,0,(IF(BX25&lt;0,0,BX25)/(условия!$Q$52*условия!$Q$140))*условия!$Q$142*SUMIFS(условия!$144:$144,условия!$8:$8,"&lt;="&amp;BX$9,условия!$9:$9,"&gt;="&amp;BX$9))</f>
        <v>291.65839637606194</v>
      </c>
      <c r="BY95" s="33">
        <f>IF(условия!$Q$52*условия!$Q$140=0,0,(IF(BY25&lt;0,0,BY25)/(условия!$Q$52*условия!$Q$140))*условия!$Q$142*SUMIFS(условия!$144:$144,условия!$8:$8,"&lt;="&amp;BY$9,условия!$9:$9,"&gt;="&amp;BY$9))</f>
        <v>611.25199412716415</v>
      </c>
      <c r="BZ95" s="33">
        <f>IF(условия!$Q$52*условия!$Q$140=0,0,(IF(BZ25&lt;0,0,BZ25)/(условия!$Q$52*условия!$Q$140))*условия!$Q$142*SUMIFS(условия!$144:$144,условия!$8:$8,"&lt;="&amp;BZ$9,условия!$9:$9,"&gt;="&amp;BZ$9))</f>
        <v>551.27385216961034</v>
      </c>
      <c r="CA95" s="33">
        <f>IF(условия!$Q$52*условия!$Q$140=0,0,(IF(CA25&lt;0,0,CA25)/(условия!$Q$52*условия!$Q$140))*условия!$Q$142*SUMIFS(условия!$144:$144,условия!$8:$8,"&lt;="&amp;CA$9,условия!$9:$9,"&gt;="&amp;CA$9))</f>
        <v>302.24067727555121</v>
      </c>
      <c r="CB95" s="33">
        <f>IF(условия!$Q$52*условия!$Q$140=0,0,(IF(CB25&lt;0,0,CB25)/(условия!$Q$52*условия!$Q$140))*условия!$Q$142*SUMIFS(условия!$144:$144,условия!$8:$8,"&lt;="&amp;CB$9,условия!$9:$9,"&gt;="&amp;CB$9))</f>
        <v>133.38789791779982</v>
      </c>
      <c r="CC95" s="33">
        <f>IF(условия!$Q$52*условия!$Q$140=0,0,(IF(CC25&lt;0,0,CC25)/(условия!$Q$52*условия!$Q$140))*условия!$Q$142*SUMIFS(условия!$144:$144,условия!$8:$8,"&lt;="&amp;CC$9,условия!$9:$9,"&gt;="&amp;CC$9))</f>
        <v>628.1248300100458</v>
      </c>
      <c r="CD95" s="33">
        <f>IF(условия!$Q$52*условия!$Q$140=0,0,(IF(CD25&lt;0,0,CD25)/(условия!$Q$52*условия!$Q$140))*условия!$Q$142*SUMIFS(условия!$144:$144,условия!$8:$8,"&lt;="&amp;CD$9,условия!$9:$9,"&gt;="&amp;CD$9))</f>
        <v>113.20509371176095</v>
      </c>
      <c r="CE95" s="33">
        <f>IF(условия!$Q$52*условия!$Q$140=0,0,(IF(CE25&lt;0,0,CE25)/(условия!$Q$52*условия!$Q$140))*условия!$Q$142*SUMIFS(условия!$144:$144,условия!$8:$8,"&lt;="&amp;CE$9,условия!$9:$9,"&gt;="&amp;CE$9))</f>
        <v>677.54682492483289</v>
      </c>
      <c r="CF95" s="33">
        <f>IF(условия!$Q$52*условия!$Q$140=0,0,(IF(CF25&lt;0,0,CF25)/(условия!$Q$52*условия!$Q$140))*условия!$Q$142*SUMIFS(условия!$144:$144,условия!$8:$8,"&lt;="&amp;CF$9,условия!$9:$9,"&gt;="&amp;CF$9))</f>
        <v>0</v>
      </c>
      <c r="CG95" s="33">
        <f>IF(условия!$Q$52*условия!$Q$140=0,0,(IF(CG25&lt;0,0,CG25)/(условия!$Q$52*условия!$Q$140))*условия!$Q$142*SUMIFS(условия!$144:$144,условия!$8:$8,"&lt;="&amp;CG$9,условия!$9:$9,"&gt;="&amp;CG$9))</f>
        <v>285.01768336316741</v>
      </c>
      <c r="CH95" s="33">
        <f>IF(условия!$Q$52*условия!$Q$140=0,0,(IF(CH25&lt;0,0,CH25)/(условия!$Q$52*условия!$Q$140))*условия!$Q$142*SUMIFS(условия!$144:$144,условия!$8:$8,"&lt;="&amp;CH$9,условия!$9:$9,"&gt;="&amp;CH$9))</f>
        <v>183.32687577696177</v>
      </c>
      <c r="CI95" s="33">
        <f>IF(условия!$Q$52*условия!$Q$140=0,0,(IF(CI25&lt;0,0,CI25)/(условия!$Q$52*условия!$Q$140))*условия!$Q$142*SUMIFS(условия!$144:$144,условия!$8:$8,"&lt;="&amp;CI$9,условия!$9:$9,"&gt;="&amp;CI$9))</f>
        <v>423.70977380466428</v>
      </c>
      <c r="CJ95" s="33">
        <f>IF(условия!$Q$52*условия!$Q$140=0,0,(IF(CJ25&lt;0,0,CJ25)/(условия!$Q$52*условия!$Q$140))*условия!$Q$142*SUMIFS(условия!$144:$144,условия!$8:$8,"&lt;="&amp;CJ$9,условия!$9:$9,"&gt;="&amp;CJ$9))</f>
        <v>554.37996848798116</v>
      </c>
      <c r="CK95" s="33">
        <f>IF(условия!$Q$52*условия!$Q$140=0,0,(IF(CK25&lt;0,0,CK25)/(условия!$Q$52*условия!$Q$140))*условия!$Q$142*SUMIFS(условия!$144:$144,условия!$8:$8,"&lt;="&amp;CK$9,условия!$9:$9,"&gt;="&amp;CK$9))</f>
        <v>665.90342427712903</v>
      </c>
      <c r="CL95" s="33">
        <f>IF(условия!$Q$52*условия!$Q$140=0,0,(IF(CL25&lt;0,0,CL25)/(условия!$Q$52*условия!$Q$140))*условия!$Q$142*SUMIFS(условия!$144:$144,условия!$8:$8,"&lt;="&amp;CL$9,условия!$9:$9,"&gt;="&amp;CL$9))</f>
        <v>905.25025699296179</v>
      </c>
      <c r="CM95" s="33">
        <f>IF(условия!$Q$52*условия!$Q$140=0,0,(IF(CM25&lt;0,0,CM25)/(условия!$Q$52*условия!$Q$140))*условия!$Q$142*SUMIFS(условия!$144:$144,условия!$8:$8,"&lt;="&amp;CM$9,условия!$9:$9,"&gt;="&amp;CM$9))</f>
        <v>248.2746295521741</v>
      </c>
      <c r="CN95" s="33">
        <f>IF(условия!$Q$52*условия!$Q$140=0,0,(IF(CN25&lt;0,0,CN25)/(условия!$Q$52*условия!$Q$140))*условия!$Q$142*SUMIFS(условия!$144:$144,условия!$8:$8,"&lt;="&amp;CN$9,условия!$9:$9,"&gt;="&amp;CN$9))</f>
        <v>315.32978425962148</v>
      </c>
      <c r="CO95" s="33">
        <f>IF(условия!$Q$52*условия!$Q$140=0,0,(IF(CO25&lt;0,0,CO25)/(условия!$Q$52*условия!$Q$140))*условия!$Q$142*SUMIFS(условия!$144:$144,условия!$8:$8,"&lt;="&amp;CO$9,условия!$9:$9,"&gt;="&amp;CO$9))</f>
        <v>672.39701872914304</v>
      </c>
      <c r="CP95" s="33">
        <f>IF(условия!$Q$52*условия!$Q$140=0,0,(IF(CP25&lt;0,0,CP25)/(условия!$Q$52*условия!$Q$140))*условия!$Q$142*SUMIFS(условия!$144:$144,условия!$8:$8,"&lt;="&amp;CP$9,условия!$9:$9,"&gt;="&amp;CP$9))</f>
        <v>289.1514999806123</v>
      </c>
      <c r="CQ95" s="33">
        <f>IF(условия!$Q$52*условия!$Q$140=0,0,(IF(CQ25&lt;0,0,CQ25)/(условия!$Q$52*условия!$Q$140))*условия!$Q$142*SUMIFS(условия!$144:$144,условия!$8:$8,"&lt;="&amp;CQ$9,условия!$9:$9,"&gt;="&amp;CQ$9))</f>
        <v>736.50025330979338</v>
      </c>
      <c r="CR95" s="33">
        <f>IF(условия!$Q$52*условия!$Q$140=0,0,(IF(CR25&lt;0,0,CR25)/(условия!$Q$52*условия!$Q$140))*условия!$Q$142*SUMIFS(условия!$144:$144,условия!$8:$8,"&lt;="&amp;CR$9,условия!$9:$9,"&gt;="&amp;CR$9))</f>
        <v>0</v>
      </c>
      <c r="CS95" s="33">
        <f>IF(условия!$Q$52*условия!$Q$140=0,0,(IF(CS25&lt;0,0,CS25)/(условия!$Q$52*условия!$Q$140))*условия!$Q$142*SUMIFS(условия!$144:$144,условия!$8:$8,"&lt;="&amp;CS$9,условия!$9:$9,"&gt;="&amp;CS$9))</f>
        <v>512.00253538140714</v>
      </c>
      <c r="CT95" s="33">
        <f>IF(условия!$Q$52*условия!$Q$140=0,0,(IF(CT25&lt;0,0,CT25)/(условия!$Q$52*условия!$Q$140))*условия!$Q$142*SUMIFS(условия!$144:$144,условия!$8:$8,"&lt;="&amp;CT$9,условия!$9:$9,"&gt;="&amp;CT$9))</f>
        <v>95.467907503289851</v>
      </c>
      <c r="CU95" s="33">
        <f>IF(условия!$Q$52*условия!$Q$140=0,0,(IF(CU25&lt;0,0,CU25)/(условия!$Q$52*условия!$Q$140))*условия!$Q$142*SUMIFS(условия!$144:$144,условия!$8:$8,"&lt;="&amp;CU$9,условия!$9:$9,"&gt;="&amp;CU$9))</f>
        <v>691.89433504228987</v>
      </c>
      <c r="CV95" s="33">
        <f>IF(условия!$Q$52*условия!$Q$140=0,0,(IF(CV25&lt;0,0,CV25)/(условия!$Q$52*условия!$Q$140))*условия!$Q$142*SUMIFS(условия!$144:$144,условия!$8:$8,"&lt;="&amp;CV$9,условия!$9:$9,"&gt;="&amp;CV$9))</f>
        <v>576.74559540199482</v>
      </c>
      <c r="CW95" s="33">
        <f>IF(условия!$Q$52*условия!$Q$140=0,0,(IF(CW25&lt;0,0,CW25)/(условия!$Q$52*условия!$Q$140))*условия!$Q$142*SUMIFS(условия!$144:$144,условия!$8:$8,"&lt;="&amp;CW$9,условия!$9:$9,"&gt;="&amp;CW$9))</f>
        <v>1006.0337463903981</v>
      </c>
      <c r="CX95" s="33">
        <f>IF(условия!$Q$52*условия!$Q$140=0,0,(IF(CX25&lt;0,0,CX25)/(условия!$Q$52*условия!$Q$140))*условия!$Q$142*SUMIFS(условия!$144:$144,условия!$8:$8,"&lt;="&amp;CX$9,условия!$9:$9,"&gt;="&amp;CX$9))</f>
        <v>1031.8449990216902</v>
      </c>
      <c r="CY95" s="33">
        <f>IF(условия!$Q$52*условия!$Q$140=0,0,(IF(CY25&lt;0,0,CY25)/(условия!$Q$52*условия!$Q$140))*условия!$Q$142*SUMIFS(условия!$144:$144,условия!$8:$8,"&lt;="&amp;CY$9,условия!$9:$9,"&gt;="&amp;CY$9))</f>
        <v>464.34463323244216</v>
      </c>
      <c r="CZ95" s="33">
        <f>IF(условия!$Q$52*условия!$Q$140=0,0,(IF(CZ25&lt;0,0,CZ25)/(условия!$Q$52*условия!$Q$140))*условия!$Q$142*SUMIFS(условия!$144:$144,условия!$8:$8,"&lt;="&amp;CZ$9,условия!$9:$9,"&gt;="&amp;CZ$9))</f>
        <v>0</v>
      </c>
      <c r="DA95" s="33">
        <f>IF(условия!$Q$52*условия!$Q$140=0,0,(IF(DA25&lt;0,0,DA25)/(условия!$Q$52*условия!$Q$140))*условия!$Q$142*SUMIFS(условия!$144:$144,условия!$8:$8,"&lt;="&amp;DA$9,условия!$9:$9,"&gt;="&amp;DA$9))</f>
        <v>1066.8600827411392</v>
      </c>
      <c r="DB95" s="33">
        <f>IF(условия!$Q$52*условия!$Q$140=0,0,(IF(DB25&lt;0,0,DB25)/(условия!$Q$52*условия!$Q$140))*условия!$Q$142*SUMIFS(условия!$144:$144,условия!$8:$8,"&lt;="&amp;DB$9,условия!$9:$9,"&gt;="&amp;DB$9))</f>
        <v>63.319638545733923</v>
      </c>
      <c r="DC95" s="33">
        <f>IF(условия!$Q$52*условия!$Q$140=0,0,(IF(DC25&lt;0,0,DC25)/(условия!$Q$52*условия!$Q$140))*условия!$Q$142*SUMIFS(условия!$144:$144,условия!$8:$8,"&lt;="&amp;DC$9,условия!$9:$9,"&gt;="&amp;DC$9))</f>
        <v>1115.6727200940807</v>
      </c>
      <c r="DD95" s="33">
        <f>IF(условия!$Q$52*условия!$Q$140=0,0,(IF(DD25&lt;0,0,DD25)/(условия!$Q$52*условия!$Q$140))*условия!$Q$142*SUMIFS(условия!$144:$144,условия!$8:$8,"&lt;="&amp;DD$9,условия!$9:$9,"&gt;="&amp;DD$9))</f>
        <v>0</v>
      </c>
      <c r="DE95" s="33">
        <f>IF(условия!$Q$52*условия!$Q$140=0,0,(IF(DE25&lt;0,0,DE25)/(условия!$Q$52*условия!$Q$140))*условия!$Q$142*SUMIFS(условия!$144:$144,условия!$8:$8,"&lt;="&amp;DE$9,условия!$9:$9,"&gt;="&amp;DE$9))</f>
        <v>399.17733018457585</v>
      </c>
      <c r="DF95" s="33">
        <f>IF(условия!$Q$52*условия!$Q$140=0,0,(IF(DF25&lt;0,0,DF25)/(условия!$Q$52*условия!$Q$140))*условия!$Q$142*SUMIFS(условия!$144:$144,условия!$8:$8,"&lt;="&amp;DF$9,условия!$9:$9,"&gt;="&amp;DF$9))</f>
        <v>306.66677926426053</v>
      </c>
      <c r="DG95" s="33">
        <f>IF(условия!$Q$52*условия!$Q$140=0,0,(IF(DG25&lt;0,0,DG25)/(условия!$Q$52*условия!$Q$140))*условия!$Q$142*SUMIFS(условия!$144:$144,условия!$8:$8,"&lt;="&amp;DG$9,условия!$9:$9,"&gt;="&amp;DG$9))</f>
        <v>579.90444831817899</v>
      </c>
      <c r="DH95" s="33">
        <f>IF(условия!$Q$52*условия!$Q$140=0,0,(IF(DH25&lt;0,0,DH25)/(условия!$Q$52*условия!$Q$140))*условия!$Q$142*SUMIFS(условия!$144:$144,условия!$8:$8,"&lt;="&amp;DH$9,условия!$9:$9,"&gt;="&amp;DH$9))</f>
        <v>809.2898374212341</v>
      </c>
      <c r="DI95" s="33">
        <f>IF(условия!$Q$52*условия!$Q$140=0,0,(IF(DI25&lt;0,0,DI25)/(условия!$Q$52*условия!$Q$140))*условия!$Q$142*SUMIFS(условия!$144:$144,условия!$8:$8,"&lt;="&amp;DI$9,условия!$9:$9,"&gt;="&amp;DI$9))</f>
        <v>956.87174193590931</v>
      </c>
      <c r="DJ95" s="33">
        <f>IF(условия!$Q$52*условия!$Q$140=0,0,(IF(DJ25&lt;0,0,DJ25)/(условия!$Q$52*условия!$Q$140))*условия!$Q$142*SUMIFS(условия!$144:$144,условия!$8:$8,"&lt;="&amp;DJ$9,условия!$9:$9,"&gt;="&amp;DJ$9))</f>
        <v>1316.5668127833649</v>
      </c>
      <c r="DK95" s="33">
        <f>IF(условия!$Q$52*условия!$Q$140=0,0,(IF(DK25&lt;0,0,DK25)/(условия!$Q$52*условия!$Q$140))*условия!$Q$142*SUMIFS(условия!$144:$144,условия!$8:$8,"&lt;="&amp;DK$9,условия!$9:$9,"&gt;="&amp;DK$9))</f>
        <v>470.53739399698588</v>
      </c>
      <c r="DL95" s="33">
        <f>IF(условия!$Q$52*условия!$Q$140=0,0,(IF(DL25&lt;0,0,DL25)/(условия!$Q$52*условия!$Q$140))*условия!$Q$142*SUMIFS(условия!$144:$144,условия!$8:$8,"&lt;="&amp;DL$9,условия!$9:$9,"&gt;="&amp;DL$9))</f>
        <v>328.87780545717766</v>
      </c>
      <c r="DM95" s="33">
        <f>IF(условия!$Q$52*условия!$Q$140=0,0,(IF(DM25&lt;0,0,DM25)/(условия!$Q$52*условия!$Q$140))*условия!$Q$142*SUMIFS(условия!$144:$144,условия!$8:$8,"&lt;="&amp;DM$9,условия!$9:$9,"&gt;="&amp;DM$9))</f>
        <v>885.7696533895288</v>
      </c>
      <c r="DN95" s="33">
        <f>IF(условия!$Q$52*условия!$Q$140=0,0,(IF(DN25&lt;0,0,DN25)/(условия!$Q$52*условия!$Q$140))*условия!$Q$142*SUMIFS(условия!$144:$144,условия!$8:$8,"&lt;="&amp;DN$9,условия!$9:$9,"&gt;="&amp;DN$9))</f>
        <v>334.01373551572595</v>
      </c>
      <c r="DO95" s="33">
        <f>IF(условия!$Q$52*условия!$Q$140=0,0,(IF(DO25&lt;0,0,DO25)/(условия!$Q$52*условия!$Q$140))*условия!$Q$142*SUMIFS(условия!$144:$144,условия!$8:$8,"&lt;="&amp;DO$9,условия!$9:$9,"&gt;="&amp;DO$9))</f>
        <v>967.0885459832125</v>
      </c>
      <c r="DP95" s="33">
        <f>IF(условия!$Q$52*условия!$Q$140=0,0,(IF(DP25&lt;0,0,DP25)/(условия!$Q$52*условия!$Q$140))*условия!$Q$142*SUMIFS(условия!$144:$144,условия!$8:$8,"&lt;="&amp;DP$9,условия!$9:$9,"&gt;="&amp;DP$9))</f>
        <v>0</v>
      </c>
      <c r="DQ95" s="33">
        <f>IF(условия!$Q$52*условия!$Q$140=0,0,(IF(DQ25&lt;0,0,DQ25)/(условия!$Q$52*условия!$Q$140))*условия!$Q$142*SUMIFS(условия!$144:$144,условия!$8:$8,"&lt;="&amp;DQ$9,условия!$9:$9,"&gt;="&amp;DQ$9))</f>
        <v>704.65668807430507</v>
      </c>
      <c r="DR95" s="33">
        <f>IF(условия!$Q$52*условия!$Q$140=0,0,(IF(DR25&lt;0,0,DR25)/(условия!$Q$52*условия!$Q$140))*условия!$Q$142*SUMIFS(условия!$144:$144,условия!$8:$8,"&lt;="&amp;DR$9,условия!$9:$9,"&gt;="&amp;DR$9))</f>
        <v>74.292704138875123</v>
      </c>
      <c r="DS95" s="33">
        <f>IF(условия!$Q$52*условия!$Q$140=0,0,(IF(DS25&lt;0,0,DS25)/(условия!$Q$52*условия!$Q$140))*условия!$Q$142*SUMIFS(условия!$144:$144,условия!$8:$8,"&lt;="&amp;DS$9,условия!$9:$9,"&gt;="&amp;DS$9))</f>
        <v>904.10197201460301</v>
      </c>
      <c r="DT95" s="33">
        <f>IF(условия!$Q$52*условия!$Q$140=0,0,(IF(DT25&lt;0,0,DT25)/(условия!$Q$52*условия!$Q$140))*условия!$Q$142*SUMIFS(условия!$144:$144,условия!$8:$8,"&lt;="&amp;DT$9,условия!$9:$9,"&gt;="&amp;DT$9))</f>
        <v>628.97315046210656</v>
      </c>
      <c r="DU95" s="33">
        <f>IF(условия!$Q$52*условия!$Q$140=0,0,(IF(DU25&lt;0,0,DU25)/(условия!$Q$52*условия!$Q$140))*условия!$Q$142*SUMIFS(условия!$144:$144,условия!$8:$8,"&lt;="&amp;DU$9,условия!$9:$9,"&gt;="&amp;DU$9))</f>
        <v>1320.112306757027</v>
      </c>
      <c r="DV95" s="33">
        <f>IF(условия!$Q$52*условия!$Q$140=0,0,(IF(DV25&lt;0,0,DV25)/(условия!$Q$52*условия!$Q$140))*условия!$Q$142*SUMIFS(условия!$144:$144,условия!$8:$8,"&lt;="&amp;DV$9,условия!$9:$9,"&gt;="&amp;DV$9))</f>
        <v>1188.7895268438865</v>
      </c>
      <c r="DW95" s="33">
        <f>IF(условия!$Q$52*условия!$Q$140=0,0,(IF(DW25&lt;0,0,DW25)/(условия!$Q$52*условия!$Q$140))*условия!$Q$142*SUMIFS(условия!$144:$144,условия!$8:$8,"&lt;="&amp;DW$9,условия!$9:$9,"&gt;="&amp;DW$9))</f>
        <v>783.4076156387149</v>
      </c>
      <c r="DX95" s="33">
        <f>IF(условия!$Q$52*условия!$Q$140=0,0,(IF(DX25&lt;0,0,DX25)/(условия!$Q$52*условия!$Q$140))*условия!$Q$142*SUMIFS(условия!$144:$144,условия!$8:$8,"&lt;="&amp;DX$9,условия!$9:$9,"&gt;="&amp;DX$9))</f>
        <v>10.1945141910894</v>
      </c>
      <c r="DY95" s="33">
        <f>IF(условия!$Q$52*условия!$Q$140=0,0,(IF(DY25&lt;0,0,DY25)/(условия!$Q$52*условия!$Q$140))*условия!$Q$142*SUMIFS(условия!$144:$144,условия!$8:$8,"&lt;="&amp;DY$9,условия!$9:$9,"&gt;="&amp;DY$9))</f>
        <v>1216.5994192440842</v>
      </c>
      <c r="DZ95" s="33">
        <f>IF(условия!$Q$52*условия!$Q$140=0,0,(IF(DZ25&lt;0,0,DZ25)/(условия!$Q$52*условия!$Q$140))*условия!$Q$142*SUMIFS(условия!$144:$144,условия!$8:$8,"&lt;="&amp;DZ$9,условия!$9:$9,"&gt;="&amp;DZ$9))</f>
        <v>15.381803550223157</v>
      </c>
      <c r="EA95" s="33">
        <f>IF(условия!$Q$52*условия!$Q$140=0,0,(IF(EA25&lt;0,0,EA25)/(условия!$Q$52*условия!$Q$140))*условия!$Q$142*SUMIFS(условия!$144:$144,условия!$8:$8,"&lt;="&amp;EA$9,условия!$9:$9,"&gt;="&amp;EA$9))</f>
        <v>1298.7315007637046</v>
      </c>
      <c r="EB95" s="33">
        <f>IF(условия!$Q$52*условия!$Q$140=0,0,(IF(EB25&lt;0,0,EB25)/(условия!$Q$52*условия!$Q$140))*условия!$Q$142*SUMIFS(условия!$144:$144,условия!$8:$8,"&lt;="&amp;EB$9,условия!$9:$9,"&gt;="&amp;EB$9))</f>
        <v>0</v>
      </c>
      <c r="EC95" s="33">
        <f>IF(условия!$Q$52*условия!$Q$140=0,0,(IF(EC25&lt;0,0,EC25)/(условия!$Q$52*условия!$Q$140))*условия!$Q$142*SUMIFS(условия!$144:$144,условия!$8:$8,"&lt;="&amp;EC$9,условия!$9:$9,"&gt;="&amp;EC$9))</f>
        <v>389.73118563438811</v>
      </c>
      <c r="ED95" s="33">
        <f>IF(условия!$Q$52*условия!$Q$140=0,0,(IF(ED25&lt;0,0,ED25)/(условия!$Q$52*условия!$Q$140))*условия!$Q$142*SUMIFS(условия!$144:$144,условия!$8:$8,"&lt;="&amp;ED$9,условия!$9:$9,"&gt;="&amp;ED$9))</f>
        <v>397.00770050092387</v>
      </c>
      <c r="EE95" s="33">
        <f>IF(условия!$Q$52*условия!$Q$140=0,0,(IF(EE25&lt;0,0,EE25)/(условия!$Q$52*условия!$Q$140))*условия!$Q$142*SUMIFS(условия!$144:$144,условия!$8:$8,"&lt;="&amp;EE$9,условия!$9:$9,"&gt;="&amp;EE$9))</f>
        <v>591.17092241408898</v>
      </c>
      <c r="EF95" s="33">
        <f>IF(условия!$Q$52*условия!$Q$140=0,0,(IF(EF25&lt;0,0,EF25)/(условия!$Q$52*условия!$Q$140))*условия!$Q$142*SUMIFS(условия!$144:$144,условия!$8:$8,"&lt;="&amp;EF$9,условия!$9:$9,"&gt;="&amp;EF$9))</f>
        <v>957.23495128738773</v>
      </c>
      <c r="EG95" s="33">
        <f>IF(условия!$Q$52*условия!$Q$140=0,0,(IF(EG25&lt;0,0,EG25)/(условия!$Q$52*условия!$Q$140))*условия!$Q$142*SUMIFS(условия!$144:$144,условия!$8:$8,"&lt;="&amp;EG$9,условия!$9:$9,"&gt;="&amp;EG$9))</f>
        <v>1011.3413605039372</v>
      </c>
      <c r="EH95" s="33">
        <f>IF(условия!$Q$52*условия!$Q$140=0,0,(IF(EH25&lt;0,0,EH25)/(условия!$Q$52*условия!$Q$140))*условия!$Q$142*SUMIFS(условия!$144:$144,условия!$8:$8,"&lt;="&amp;EH$9,условия!$9:$9,"&gt;="&amp;EH$9))</f>
        <v>1522.6494914329853</v>
      </c>
      <c r="EI95" s="33">
        <f>IF(условия!$Q$52*условия!$Q$140=0,0,(IF(EI25&lt;0,0,EI25)/(условия!$Q$52*условия!$Q$140))*условия!$Q$142*SUMIFS(условия!$144:$144,условия!$8:$8,"&lt;="&amp;EI$9,условия!$9:$9,"&gt;="&amp;EI$9))</f>
        <v>469.26962247444203</v>
      </c>
      <c r="EJ95" s="3"/>
      <c r="EK95" s="3"/>
    </row>
    <row r="96" spans="1:1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</row>
    <row r="97" spans="1:141" x14ac:dyDescent="0.25">
      <c r="A97" s="3"/>
      <c r="B97" s="3"/>
      <c r="C97" s="3"/>
      <c r="D97" s="3"/>
      <c r="E97" s="3"/>
      <c r="F97" s="10" t="str">
        <f>KPI!$F$95</f>
        <v>постоянный ФОТ персонала склада СиМ</v>
      </c>
      <c r="G97" s="3"/>
      <c r="H97" s="3"/>
      <c r="I97" s="3"/>
      <c r="J97" s="5" t="str">
        <f>IF($F97="","",INDEX(KPI!$I$11:$I$275,SUMIFS(KPI!$E$11:$E$275,KPI!$F$11:$F$275,$F97)))</f>
        <v>тыс.руб.</v>
      </c>
      <c r="K97" s="3"/>
      <c r="L97" s="3"/>
      <c r="M97" s="3"/>
      <c r="N97" s="3"/>
      <c r="O97" s="3"/>
      <c r="P97" s="3"/>
      <c r="Q97" s="12">
        <f>SUM(S97:EJ97)</f>
        <v>21318.071310146861</v>
      </c>
      <c r="R97" s="3"/>
      <c r="S97" s="55"/>
      <c r="T97" s="33">
        <f>S97+IF(T1=$Q$53,условия!$Q$146*SUMIFS(условия!$148:$148,условия!$8:$8,"&lt;="&amp;T$9,условия!$9:$9,"&gt;="&amp;T$9),0)+T51*условия!$Q$146*SUMIFS(условия!$148:$148,условия!$8:$8,"&lt;="&amp;T$9,условия!$9:$9,"&gt;="&amp;T$9)</f>
        <v>0</v>
      </c>
      <c r="U97" s="33">
        <f>T97+IF(U1=$Q$53,условия!$Q$146*SUMIFS(условия!$148:$148,условия!$8:$8,"&lt;="&amp;U$9,условия!$9:$9,"&gt;="&amp;U$9),0)+U51*условия!$Q$146*SUMIFS(условия!$148:$148,условия!$8:$8,"&lt;="&amp;U$9,условия!$9:$9,"&gt;="&amp;U$9)</f>
        <v>0</v>
      </c>
      <c r="V97" s="33">
        <f>U97+IF(V1=$Q$53,условия!$Q$146*SUMIFS(условия!$148:$148,условия!$8:$8,"&lt;="&amp;V$9,условия!$9:$9,"&gt;="&amp;V$9),0)+V51*условия!$Q$146*SUMIFS(условия!$148:$148,условия!$8:$8,"&lt;="&amp;V$9,условия!$9:$9,"&gt;="&amp;V$9)</f>
        <v>0</v>
      </c>
      <c r="W97" s="33">
        <f>V97+IF(W1=$Q$53,условия!$Q$146*SUMIFS(условия!$148:$148,условия!$8:$8,"&lt;="&amp;W$9,условия!$9:$9,"&gt;="&amp;W$9),0)+W51*условия!$Q$146*SUMIFS(условия!$148:$148,условия!$8:$8,"&lt;="&amp;W$9,условия!$9:$9,"&gt;="&amp;W$9)</f>
        <v>0</v>
      </c>
      <c r="X97" s="33">
        <f>W97+IF(X1=$Q$53,условия!$Q$146*SUMIFS(условия!$148:$148,условия!$8:$8,"&lt;="&amp;X$9,условия!$9:$9,"&gt;="&amp;X$9),0)+X51*условия!$Q$146*SUMIFS(условия!$148:$148,условия!$8:$8,"&lt;="&amp;X$9,условия!$9:$9,"&gt;="&amp;X$9)</f>
        <v>90</v>
      </c>
      <c r="Y97" s="33">
        <f>X97+IF(Y1=$Q$53,условия!$Q$146*SUMIFS(условия!$148:$148,условия!$8:$8,"&lt;="&amp;Y$9,условия!$9:$9,"&gt;="&amp;Y$9),0)+Y51*условия!$Q$146*SUMIFS(условия!$148:$148,условия!$8:$8,"&lt;="&amp;Y$9,условия!$9:$9,"&gt;="&amp;Y$9)</f>
        <v>90</v>
      </c>
      <c r="Z97" s="33">
        <f>Y97+IF(Z1=$Q$53,условия!$Q$146*SUMIFS(условия!$148:$148,условия!$8:$8,"&lt;="&amp;Z$9,условия!$9:$9,"&gt;="&amp;Z$9),0)+Z51*условия!$Q$146*SUMIFS(условия!$148:$148,условия!$8:$8,"&lt;="&amp;Z$9,условия!$9:$9,"&gt;="&amp;Z$9)</f>
        <v>90</v>
      </c>
      <c r="AA97" s="33">
        <f>Z97+IF(AA1=$Q$53,условия!$Q$146*SUMIFS(условия!$148:$148,условия!$8:$8,"&lt;="&amp;AA$9,условия!$9:$9,"&gt;="&amp;AA$9),0)+AA51*условия!$Q$146*SUMIFS(условия!$148:$148,условия!$8:$8,"&lt;="&amp;AA$9,условия!$9:$9,"&gt;="&amp;AA$9)</f>
        <v>90</v>
      </c>
      <c r="AB97" s="33">
        <f>AA97+IF(AB1=$Q$53,условия!$Q$146*SUMIFS(условия!$148:$148,условия!$8:$8,"&lt;="&amp;AB$9,условия!$9:$9,"&gt;="&amp;AB$9),0)+AB51*условия!$Q$146*SUMIFS(условия!$148:$148,условия!$8:$8,"&lt;="&amp;AB$9,условия!$9:$9,"&gt;="&amp;AB$9)</f>
        <v>90</v>
      </c>
      <c r="AC97" s="33">
        <f>AB97+IF(AC1=$Q$53,условия!$Q$146*SUMIFS(условия!$148:$148,условия!$8:$8,"&lt;="&amp;AC$9,условия!$9:$9,"&gt;="&amp;AC$9),0)+AC51*условия!$Q$146*SUMIFS(условия!$148:$148,условия!$8:$8,"&lt;="&amp;AC$9,условия!$9:$9,"&gt;="&amp;AC$9)</f>
        <v>90</v>
      </c>
      <c r="AD97" s="33">
        <f>AC97+IF(AD1=$Q$53,условия!$Q$146*SUMIFS(условия!$148:$148,условия!$8:$8,"&lt;="&amp;AD$9,условия!$9:$9,"&gt;="&amp;AD$9),0)+AD51*условия!$Q$146*SUMIFS(условия!$148:$148,условия!$8:$8,"&lt;="&amp;AD$9,условия!$9:$9,"&gt;="&amp;AD$9)</f>
        <v>90</v>
      </c>
      <c r="AE97" s="33">
        <f>AD97+IF(AE1=$Q$53,условия!$Q$146*SUMIFS(условия!$148:$148,условия!$8:$8,"&lt;="&amp;AE$9,условия!$9:$9,"&gt;="&amp;AE$9),0)+AE51*условия!$Q$146*SUMIFS(условия!$148:$148,условия!$8:$8,"&lt;="&amp;AE$9,условия!$9:$9,"&gt;="&amp;AE$9)</f>
        <v>90</v>
      </c>
      <c r="AF97" s="33">
        <f>AE97+IF(AF1=$Q$53,условия!$Q$146*SUMIFS(условия!$148:$148,условия!$8:$8,"&lt;="&amp;AF$9,условия!$9:$9,"&gt;="&amp;AF$9),0)+AF51*условия!$Q$146*SUMIFS(условия!$148:$148,условия!$8:$8,"&lt;="&amp;AF$9,условия!$9:$9,"&gt;="&amp;AF$9)</f>
        <v>90</v>
      </c>
      <c r="AG97" s="33">
        <f>AF97+IF(AG1=$Q$53,условия!$Q$146*SUMIFS(условия!$148:$148,условия!$8:$8,"&lt;="&amp;AG$9,условия!$9:$9,"&gt;="&amp;AG$9),0)+AG51*условия!$Q$146*SUMIFS(условия!$148:$148,условия!$8:$8,"&lt;="&amp;AG$9,условия!$9:$9,"&gt;="&amp;AG$9)</f>
        <v>90</v>
      </c>
      <c r="AH97" s="33">
        <f>AG97+IF(AH1=$Q$53,условия!$Q$146*SUMIFS(условия!$148:$148,условия!$8:$8,"&lt;="&amp;AH$9,условия!$9:$9,"&gt;="&amp;AH$9),0)+AH51*условия!$Q$146*SUMIFS(условия!$148:$148,условия!$8:$8,"&lt;="&amp;AH$9,условия!$9:$9,"&gt;="&amp;AH$9)</f>
        <v>90</v>
      </c>
      <c r="AI97" s="33">
        <f>AH97+IF(AI1=$Q$53,условия!$Q$146*SUMIFS(условия!$148:$148,условия!$8:$8,"&lt;="&amp;AI$9,условия!$9:$9,"&gt;="&amp;AI$9),0)+AI51*условия!$Q$146*SUMIFS(условия!$148:$148,условия!$8:$8,"&lt;="&amp;AI$9,условия!$9:$9,"&gt;="&amp;AI$9)</f>
        <v>90</v>
      </c>
      <c r="AJ97" s="33">
        <f>AI97+IF(AJ1=$Q$53,условия!$Q$146*SUMIFS(условия!$148:$148,условия!$8:$8,"&lt;="&amp;AJ$9,условия!$9:$9,"&gt;="&amp;AJ$9),0)+AJ51*условия!$Q$146*SUMIFS(условия!$148:$148,условия!$8:$8,"&lt;="&amp;AJ$9,условия!$9:$9,"&gt;="&amp;AJ$9)</f>
        <v>90</v>
      </c>
      <c r="AK97" s="33">
        <f>AJ97+IF(AK1=$Q$53,условия!$Q$146*SUMIFS(условия!$148:$148,условия!$8:$8,"&lt;="&amp;AK$9,условия!$9:$9,"&gt;="&amp;AK$9),0)+AK51*условия!$Q$146*SUMIFS(условия!$148:$148,условия!$8:$8,"&lt;="&amp;AK$9,условия!$9:$9,"&gt;="&amp;AK$9)</f>
        <v>90</v>
      </c>
      <c r="AL97" s="33">
        <f>AK97+IF(AL1=$Q$53,условия!$Q$146*SUMIFS(условия!$148:$148,условия!$8:$8,"&lt;="&amp;AL$9,условия!$9:$9,"&gt;="&amp;AL$9),0)+AL51*условия!$Q$146*SUMIFS(условия!$148:$148,условия!$8:$8,"&lt;="&amp;AL$9,условия!$9:$9,"&gt;="&amp;AL$9)</f>
        <v>90</v>
      </c>
      <c r="AM97" s="33">
        <f>AL97+IF(AM1=$Q$53,условия!$Q$146*SUMIFS(условия!$148:$148,условия!$8:$8,"&lt;="&amp;AM$9,условия!$9:$9,"&gt;="&amp;AM$9),0)+AM51*условия!$Q$146*SUMIFS(условия!$148:$148,условия!$8:$8,"&lt;="&amp;AM$9,условия!$9:$9,"&gt;="&amp;AM$9)</f>
        <v>90</v>
      </c>
      <c r="AN97" s="33">
        <f>AM97+IF(AN1=$Q$53,условия!$Q$146*SUMIFS(условия!$148:$148,условия!$8:$8,"&lt;="&amp;AN$9,условия!$9:$9,"&gt;="&amp;AN$9),0)+AN51*условия!$Q$146*SUMIFS(условия!$148:$148,условия!$8:$8,"&lt;="&amp;AN$9,условия!$9:$9,"&gt;="&amp;AN$9)</f>
        <v>90</v>
      </c>
      <c r="AO97" s="33">
        <f>AN97+IF(AO1=$Q$53,условия!$Q$146*SUMIFS(условия!$148:$148,условия!$8:$8,"&lt;="&amp;AO$9,условия!$9:$9,"&gt;="&amp;AO$9),0)+AO51*условия!$Q$146*SUMIFS(условия!$148:$148,условия!$8:$8,"&lt;="&amp;AO$9,условия!$9:$9,"&gt;="&amp;AO$9)</f>
        <v>90</v>
      </c>
      <c r="AP97" s="33">
        <f>AO97+IF(AP1=$Q$53,условия!$Q$146*SUMIFS(условия!$148:$148,условия!$8:$8,"&lt;="&amp;AP$9,условия!$9:$9,"&gt;="&amp;AP$9),0)+AP51*условия!$Q$146*SUMIFS(условия!$148:$148,условия!$8:$8,"&lt;="&amp;AP$9,условия!$9:$9,"&gt;="&amp;AP$9)</f>
        <v>90</v>
      </c>
      <c r="AQ97" s="33">
        <f>AP97+IF(AQ1=$Q$53,условия!$Q$146*SUMIFS(условия!$148:$148,условия!$8:$8,"&lt;="&amp;AQ$9,условия!$9:$9,"&gt;="&amp;AQ$9),0)+AQ51*условия!$Q$146*SUMIFS(условия!$148:$148,условия!$8:$8,"&lt;="&amp;AQ$9,условия!$9:$9,"&gt;="&amp;AQ$9)</f>
        <v>90</v>
      </c>
      <c r="AR97" s="33">
        <f>AQ97+IF(AR1=$Q$53,условия!$Q$146*SUMIFS(условия!$148:$148,условия!$8:$8,"&lt;="&amp;AR$9,условия!$9:$9,"&gt;="&amp;AR$9),0)+AR51*условия!$Q$146*SUMIFS(условия!$148:$148,условия!$8:$8,"&lt;="&amp;AR$9,условия!$9:$9,"&gt;="&amp;AR$9)</f>
        <v>90</v>
      </c>
      <c r="AS97" s="33">
        <f>AR97+IF(AS1=$Q$53,условия!$Q$146*SUMIFS(условия!$148:$148,условия!$8:$8,"&lt;="&amp;AS$9,условия!$9:$9,"&gt;="&amp;AS$9),0)+AS51*условия!$Q$146*SUMIFS(условия!$148:$148,условия!$8:$8,"&lt;="&amp;AS$9,условия!$9:$9,"&gt;="&amp;AS$9)</f>
        <v>90</v>
      </c>
      <c r="AT97" s="33">
        <f>AS97+IF(AT1=$Q$53,условия!$Q$146*SUMIFS(условия!$148:$148,условия!$8:$8,"&lt;="&amp;AT$9,условия!$9:$9,"&gt;="&amp;AT$9),0)+AT51*условия!$Q$146*SUMIFS(условия!$148:$148,условия!$8:$8,"&lt;="&amp;AT$9,условия!$9:$9,"&gt;="&amp;AT$9)</f>
        <v>90</v>
      </c>
      <c r="AU97" s="33">
        <f>AT97+IF(AU1=$Q$53,условия!$Q$146*SUMIFS(условия!$148:$148,условия!$8:$8,"&lt;="&amp;AU$9,условия!$9:$9,"&gt;="&amp;AU$9),0)+AU51*условия!$Q$146*SUMIFS(условия!$148:$148,условия!$8:$8,"&lt;="&amp;AU$9,условия!$9:$9,"&gt;="&amp;AU$9)</f>
        <v>90</v>
      </c>
      <c r="AV97" s="33">
        <f>AU97+IF(AV1=$Q$53,условия!$Q$146*SUMIFS(условия!$148:$148,условия!$8:$8,"&lt;="&amp;AV$9,условия!$9:$9,"&gt;="&amp;AV$9),0)+AV51*условия!$Q$146*SUMIFS(условия!$148:$148,условия!$8:$8,"&lt;="&amp;AV$9,условия!$9:$9,"&gt;="&amp;AV$9)</f>
        <v>90</v>
      </c>
      <c r="AW97" s="33">
        <f>AV97+IF(AW1=$Q$53,условия!$Q$146*SUMIFS(условия!$148:$148,условия!$8:$8,"&lt;="&amp;AW$9,условия!$9:$9,"&gt;="&amp;AW$9),0)+AW51*условия!$Q$146*SUMIFS(условия!$148:$148,условия!$8:$8,"&lt;="&amp;AW$9,условия!$9:$9,"&gt;="&amp;AW$9)</f>
        <v>90</v>
      </c>
      <c r="AX97" s="33">
        <f>AW97+IF(AX1=$Q$53,условия!$Q$146*SUMIFS(условия!$148:$148,условия!$8:$8,"&lt;="&amp;AX$9,условия!$9:$9,"&gt;="&amp;AX$9),0)+AX51*условия!$Q$146*SUMIFS(условия!$148:$148,условия!$8:$8,"&lt;="&amp;AX$9,условия!$9:$9,"&gt;="&amp;AX$9)</f>
        <v>90</v>
      </c>
      <c r="AY97" s="33">
        <f>AX97+IF(AY1=$Q$53,условия!$Q$146*SUMIFS(условия!$148:$148,условия!$8:$8,"&lt;="&amp;AY$9,условия!$9:$9,"&gt;="&amp;AY$9),0)+AY51*условия!$Q$146*SUMIFS(условия!$148:$148,условия!$8:$8,"&lt;="&amp;AY$9,условия!$9:$9,"&gt;="&amp;AY$9)</f>
        <v>90</v>
      </c>
      <c r="AZ97" s="33">
        <f>AY97+IF(AZ1=$Q$53,условия!$Q$146*SUMIFS(условия!$148:$148,условия!$8:$8,"&lt;="&amp;AZ$9,условия!$9:$9,"&gt;="&amp;AZ$9),0)+AZ51*условия!$Q$146*SUMIFS(условия!$148:$148,условия!$8:$8,"&lt;="&amp;AZ$9,условия!$9:$9,"&gt;="&amp;AZ$9)</f>
        <v>90</v>
      </c>
      <c r="BA97" s="33">
        <f>AZ97+IF(BA1=$Q$53,условия!$Q$146*SUMIFS(условия!$148:$148,условия!$8:$8,"&lt;="&amp;BA$9,условия!$9:$9,"&gt;="&amp;BA$9),0)+BA51*условия!$Q$146*SUMIFS(условия!$148:$148,условия!$8:$8,"&lt;="&amp;BA$9,условия!$9:$9,"&gt;="&amp;BA$9)</f>
        <v>90</v>
      </c>
      <c r="BB97" s="33">
        <f>BA97+IF(BB1=$Q$53,условия!$Q$146*SUMIFS(условия!$148:$148,условия!$8:$8,"&lt;="&amp;BB$9,условия!$9:$9,"&gt;="&amp;BB$9),0)+BB51*условия!$Q$146*SUMIFS(условия!$148:$148,условия!$8:$8,"&lt;="&amp;BB$9,условия!$9:$9,"&gt;="&amp;BB$9)</f>
        <v>90</v>
      </c>
      <c r="BC97" s="33">
        <f>BB97+IF(BC1=$Q$53,условия!$Q$146*SUMIFS(условия!$148:$148,условия!$8:$8,"&lt;="&amp;BC$9,условия!$9:$9,"&gt;="&amp;BC$9),0)+BC51*условия!$Q$146*SUMIFS(условия!$148:$148,условия!$8:$8,"&lt;="&amp;BC$9,условия!$9:$9,"&gt;="&amp;BC$9)</f>
        <v>90</v>
      </c>
      <c r="BD97" s="33">
        <f>BC97+IF(BD1=$Q$53,условия!$Q$146*SUMIFS(условия!$148:$148,условия!$8:$8,"&lt;="&amp;BD$9,условия!$9:$9,"&gt;="&amp;BD$9),0)+BD51*условия!$Q$146*SUMIFS(условия!$148:$148,условия!$8:$8,"&lt;="&amp;BD$9,условия!$9:$9,"&gt;="&amp;BD$9)</f>
        <v>90</v>
      </c>
      <c r="BE97" s="33">
        <f>BD97+IF(BE1=$Q$53,условия!$Q$146*SUMIFS(условия!$148:$148,условия!$8:$8,"&lt;="&amp;BE$9,условия!$9:$9,"&gt;="&amp;BE$9),0)+BE51*условия!$Q$146*SUMIFS(условия!$148:$148,условия!$8:$8,"&lt;="&amp;BE$9,условия!$9:$9,"&gt;="&amp;BE$9)</f>
        <v>90</v>
      </c>
      <c r="BF97" s="33">
        <f>BE97+IF(BF1=$Q$53,условия!$Q$146*SUMIFS(условия!$148:$148,условия!$8:$8,"&lt;="&amp;BF$9,условия!$9:$9,"&gt;="&amp;BF$9),0)+BF51*условия!$Q$146*SUMIFS(условия!$148:$148,условия!$8:$8,"&lt;="&amp;BF$9,условия!$9:$9,"&gt;="&amp;BF$9)</f>
        <v>90</v>
      </c>
      <c r="BG97" s="33">
        <f>BF97+IF(BG1=$Q$53,условия!$Q$146*SUMIFS(условия!$148:$148,условия!$8:$8,"&lt;="&amp;BG$9,условия!$9:$9,"&gt;="&amp;BG$9),0)+BG51*условия!$Q$146*SUMIFS(условия!$148:$148,условия!$8:$8,"&lt;="&amp;BG$9,условия!$9:$9,"&gt;="&amp;BG$9)</f>
        <v>90</v>
      </c>
      <c r="BH97" s="33">
        <f>BG97+IF(BH1=$Q$53,условия!$Q$146*SUMIFS(условия!$148:$148,условия!$8:$8,"&lt;="&amp;BH$9,условия!$9:$9,"&gt;="&amp;BH$9),0)+BH51*условия!$Q$146*SUMIFS(условия!$148:$148,условия!$8:$8,"&lt;="&amp;BH$9,условия!$9:$9,"&gt;="&amp;BH$9)</f>
        <v>90</v>
      </c>
      <c r="BI97" s="33">
        <f>BH97+IF(BI1=$Q$53,условия!$Q$146*SUMIFS(условия!$148:$148,условия!$8:$8,"&lt;="&amp;BI$9,условия!$9:$9,"&gt;="&amp;BI$9),0)+BI51*условия!$Q$146*SUMIFS(условия!$148:$148,условия!$8:$8,"&lt;="&amp;BI$9,условия!$9:$9,"&gt;="&amp;BI$9)</f>
        <v>90</v>
      </c>
      <c r="BJ97" s="33">
        <f>BI97+IF(BJ1=$Q$53,условия!$Q$146*SUMIFS(условия!$148:$148,условия!$8:$8,"&lt;="&amp;BJ$9,условия!$9:$9,"&gt;="&amp;BJ$9),0)+BJ51*условия!$Q$146*SUMIFS(условия!$148:$148,условия!$8:$8,"&lt;="&amp;BJ$9,условия!$9:$9,"&gt;="&amp;BJ$9)</f>
        <v>90</v>
      </c>
      <c r="BK97" s="33">
        <f>BJ97+IF(BK1=$Q$53,условия!$Q$146*SUMIFS(условия!$148:$148,условия!$8:$8,"&lt;="&amp;BK$9,условия!$9:$9,"&gt;="&amp;BK$9),0)+BK51*условия!$Q$146*SUMIFS(условия!$148:$148,условия!$8:$8,"&lt;="&amp;BK$9,условия!$9:$9,"&gt;="&amp;BK$9)</f>
        <v>90</v>
      </c>
      <c r="BL97" s="33">
        <f>BK97+IF(BL1=$Q$53,условия!$Q$146*SUMIFS(условия!$148:$148,условия!$8:$8,"&lt;="&amp;BL$9,условия!$9:$9,"&gt;="&amp;BL$9),0)+BL51*условия!$Q$146*SUMIFS(условия!$148:$148,условия!$8:$8,"&lt;="&amp;BL$9,условия!$9:$9,"&gt;="&amp;BL$9)</f>
        <v>90</v>
      </c>
      <c r="BM97" s="33">
        <f>BL97+IF(BM1=$Q$53,условия!$Q$146*SUMIFS(условия!$148:$148,условия!$8:$8,"&lt;="&amp;BM$9,условия!$9:$9,"&gt;="&amp;BM$9),0)+BM51*условия!$Q$146*SUMIFS(условия!$148:$148,условия!$8:$8,"&lt;="&amp;BM$9,условия!$9:$9,"&gt;="&amp;BM$9)</f>
        <v>90</v>
      </c>
      <c r="BN97" s="33">
        <f>BM97+IF(BN1=$Q$53,условия!$Q$146*SUMIFS(условия!$148:$148,условия!$8:$8,"&lt;="&amp;BN$9,условия!$9:$9,"&gt;="&amp;BN$9),0)+BN51*условия!$Q$146*SUMIFS(условия!$148:$148,условия!$8:$8,"&lt;="&amp;BN$9,условия!$9:$9,"&gt;="&amp;BN$9)</f>
        <v>90</v>
      </c>
      <c r="BO97" s="33">
        <f>BN97+IF(BO1=$Q$53,условия!$Q$146*SUMIFS(условия!$148:$148,условия!$8:$8,"&lt;="&amp;BO$9,условия!$9:$9,"&gt;="&amp;BO$9),0)+BO51*условия!$Q$146*SUMIFS(условия!$148:$148,условия!$8:$8,"&lt;="&amp;BO$9,условия!$9:$9,"&gt;="&amp;BO$9)</f>
        <v>90</v>
      </c>
      <c r="BP97" s="33">
        <f>BO97+IF(BP1=$Q$53,условия!$Q$146*SUMIFS(условия!$148:$148,условия!$8:$8,"&lt;="&amp;BP$9,условия!$9:$9,"&gt;="&amp;BP$9),0)+BP51*условия!$Q$146*SUMIFS(условия!$148:$148,условия!$8:$8,"&lt;="&amp;BP$9,условия!$9:$9,"&gt;="&amp;BP$9)</f>
        <v>90</v>
      </c>
      <c r="BQ97" s="33">
        <f>BP97+IF(BQ1=$Q$53,условия!$Q$146*SUMIFS(условия!$148:$148,условия!$8:$8,"&lt;="&amp;BQ$9,условия!$9:$9,"&gt;="&amp;BQ$9),0)+BQ51*условия!$Q$146*SUMIFS(условия!$148:$148,условия!$8:$8,"&lt;="&amp;BQ$9,условия!$9:$9,"&gt;="&amp;BQ$9)</f>
        <v>90</v>
      </c>
      <c r="BR97" s="33">
        <f>BQ97+IF(BR1=$Q$53,условия!$Q$146*SUMIFS(условия!$148:$148,условия!$8:$8,"&lt;="&amp;BR$9,условия!$9:$9,"&gt;="&amp;BR$9),0)+BR51*условия!$Q$146*SUMIFS(условия!$148:$148,условия!$8:$8,"&lt;="&amp;BR$9,условия!$9:$9,"&gt;="&amp;BR$9)</f>
        <v>90</v>
      </c>
      <c r="BS97" s="33">
        <f>BR97+IF(BS1=$Q$53,условия!$Q$146*SUMIFS(условия!$148:$148,условия!$8:$8,"&lt;="&amp;BS$9,условия!$9:$9,"&gt;="&amp;BS$9),0)+BS51*условия!$Q$146*SUMIFS(условия!$148:$148,условия!$8:$8,"&lt;="&amp;BS$9,условия!$9:$9,"&gt;="&amp;BS$9)</f>
        <v>90</v>
      </c>
      <c r="BT97" s="33">
        <f>BS97+IF(BT1=$Q$53,условия!$Q$146*SUMIFS(условия!$148:$148,условия!$8:$8,"&lt;="&amp;BT$9,условия!$9:$9,"&gt;="&amp;BT$9),0)+BT51*условия!$Q$146*SUMIFS(условия!$148:$148,условия!$8:$8,"&lt;="&amp;BT$9,условия!$9:$9,"&gt;="&amp;BT$9)</f>
        <v>90</v>
      </c>
      <c r="BU97" s="33">
        <f>BT97+IF(BU1=$Q$53,условия!$Q$146*SUMIFS(условия!$148:$148,условия!$8:$8,"&lt;="&amp;BU$9,условия!$9:$9,"&gt;="&amp;BU$9),0)+BU51*условия!$Q$146*SUMIFS(условия!$148:$148,условия!$8:$8,"&lt;="&amp;BU$9,условия!$9:$9,"&gt;="&amp;BU$9)</f>
        <v>90</v>
      </c>
      <c r="BV97" s="33">
        <f>BU97+IF(BV1=$Q$53,условия!$Q$146*SUMIFS(условия!$148:$148,условия!$8:$8,"&lt;="&amp;BV$9,условия!$9:$9,"&gt;="&amp;BV$9),0)+BV51*условия!$Q$146*SUMIFS(условия!$148:$148,условия!$8:$8,"&lt;="&amp;BV$9,условия!$9:$9,"&gt;="&amp;BV$9)</f>
        <v>90</v>
      </c>
      <c r="BW97" s="33">
        <f>BV97+IF(BW1=$Q$53,условия!$Q$146*SUMIFS(условия!$148:$148,условия!$8:$8,"&lt;="&amp;BW$9,условия!$9:$9,"&gt;="&amp;BW$9),0)+BW51*условия!$Q$146*SUMIFS(условия!$148:$148,условия!$8:$8,"&lt;="&amp;BW$9,условия!$9:$9,"&gt;="&amp;BW$9)</f>
        <v>90</v>
      </c>
      <c r="BX97" s="33">
        <f>BW97+IF(BX1=$Q$53,условия!$Q$146*SUMIFS(условия!$148:$148,условия!$8:$8,"&lt;="&amp;BX$9,условия!$9:$9,"&gt;="&amp;BX$9),0)+BX51*условия!$Q$146*SUMIFS(условия!$148:$148,условия!$8:$8,"&lt;="&amp;BX$9,условия!$9:$9,"&gt;="&amp;BX$9)</f>
        <v>90</v>
      </c>
      <c r="BY97" s="33">
        <f>BX97+IF(BY1=$Q$53,условия!$Q$146*SUMIFS(условия!$148:$148,условия!$8:$8,"&lt;="&amp;BY$9,условия!$9:$9,"&gt;="&amp;BY$9),0)+BY51*условия!$Q$146*SUMIFS(условия!$148:$148,условия!$8:$8,"&lt;="&amp;BY$9,условия!$9:$9,"&gt;="&amp;BY$9)</f>
        <v>206.84849400000002</v>
      </c>
      <c r="BZ97" s="33">
        <f>BY97+IF(BZ1=$Q$53,условия!$Q$146*SUMIFS(условия!$148:$148,условия!$8:$8,"&lt;="&amp;BZ$9,условия!$9:$9,"&gt;="&amp;BZ$9),0)+BZ51*условия!$Q$146*SUMIFS(условия!$148:$148,условия!$8:$8,"&lt;="&amp;BZ$9,условия!$9:$9,"&gt;="&amp;BZ$9)</f>
        <v>206.84849400000002</v>
      </c>
      <c r="CA97" s="33">
        <f>BZ97+IF(CA1=$Q$53,условия!$Q$146*SUMIFS(условия!$148:$148,условия!$8:$8,"&lt;="&amp;CA$9,условия!$9:$9,"&gt;="&amp;CA$9),0)+CA51*условия!$Q$146*SUMIFS(условия!$148:$148,условия!$8:$8,"&lt;="&amp;CA$9,условия!$9:$9,"&gt;="&amp;CA$9)</f>
        <v>206.84849400000002</v>
      </c>
      <c r="CB97" s="33">
        <f>CA97+IF(CB1=$Q$53,условия!$Q$146*SUMIFS(условия!$148:$148,условия!$8:$8,"&lt;="&amp;CB$9,условия!$9:$9,"&gt;="&amp;CB$9),0)+CB51*условия!$Q$146*SUMIFS(условия!$148:$148,условия!$8:$8,"&lt;="&amp;CB$9,условия!$9:$9,"&gt;="&amp;CB$9)</f>
        <v>206.84849400000002</v>
      </c>
      <c r="CC97" s="33">
        <f>CB97+IF(CC1=$Q$53,условия!$Q$146*SUMIFS(условия!$148:$148,условия!$8:$8,"&lt;="&amp;CC$9,условия!$9:$9,"&gt;="&amp;CC$9),0)+CC51*условия!$Q$146*SUMIFS(условия!$148:$148,условия!$8:$8,"&lt;="&amp;CC$9,условия!$9:$9,"&gt;="&amp;CC$9)</f>
        <v>206.84849400000002</v>
      </c>
      <c r="CD97" s="33">
        <f>CC97+IF(CD1=$Q$53,условия!$Q$146*SUMIFS(условия!$148:$148,условия!$8:$8,"&lt;="&amp;CD$9,условия!$9:$9,"&gt;="&amp;CD$9),0)+CD51*условия!$Q$146*SUMIFS(условия!$148:$148,условия!$8:$8,"&lt;="&amp;CD$9,условия!$9:$9,"&gt;="&amp;CD$9)</f>
        <v>206.84849400000002</v>
      </c>
      <c r="CE97" s="33">
        <f>CD97+IF(CE1=$Q$53,условия!$Q$146*SUMIFS(условия!$148:$148,условия!$8:$8,"&lt;="&amp;CE$9,условия!$9:$9,"&gt;="&amp;CE$9),0)+CE51*условия!$Q$146*SUMIFS(условия!$148:$148,условия!$8:$8,"&lt;="&amp;CE$9,условия!$9:$9,"&gt;="&amp;CE$9)</f>
        <v>206.84849400000002</v>
      </c>
      <c r="CF97" s="33">
        <f>CE97+IF(CF1=$Q$53,условия!$Q$146*SUMIFS(условия!$148:$148,условия!$8:$8,"&lt;="&amp;CF$9,условия!$9:$9,"&gt;="&amp;CF$9),0)+CF51*условия!$Q$146*SUMIFS(условия!$148:$148,условия!$8:$8,"&lt;="&amp;CF$9,условия!$9:$9,"&gt;="&amp;CF$9)</f>
        <v>206.84849400000002</v>
      </c>
      <c r="CG97" s="33">
        <f>CF97+IF(CG1=$Q$53,условия!$Q$146*SUMIFS(условия!$148:$148,условия!$8:$8,"&lt;="&amp;CG$9,условия!$9:$9,"&gt;="&amp;CG$9),0)+CG51*условия!$Q$146*SUMIFS(условия!$148:$148,условия!$8:$8,"&lt;="&amp;CG$9,условия!$9:$9,"&gt;="&amp;CG$9)</f>
        <v>206.84849400000002</v>
      </c>
      <c r="CH97" s="33">
        <f>CG97+IF(CH1=$Q$53,условия!$Q$146*SUMIFS(условия!$148:$148,условия!$8:$8,"&lt;="&amp;CH$9,условия!$9:$9,"&gt;="&amp;CH$9),0)+CH51*условия!$Q$146*SUMIFS(условия!$148:$148,условия!$8:$8,"&lt;="&amp;CH$9,условия!$9:$9,"&gt;="&amp;CH$9)</f>
        <v>206.84849400000002</v>
      </c>
      <c r="CI97" s="33">
        <f>CH97+IF(CI1=$Q$53,условия!$Q$146*SUMIFS(условия!$148:$148,условия!$8:$8,"&lt;="&amp;CI$9,условия!$9:$9,"&gt;="&amp;CI$9),0)+CI51*условия!$Q$146*SUMIFS(условия!$148:$148,условия!$8:$8,"&lt;="&amp;CI$9,условия!$9:$9,"&gt;="&amp;CI$9)</f>
        <v>206.84849400000002</v>
      </c>
      <c r="CJ97" s="33">
        <f>CI97+IF(CJ1=$Q$53,условия!$Q$146*SUMIFS(условия!$148:$148,условия!$8:$8,"&lt;="&amp;CJ$9,условия!$9:$9,"&gt;="&amp;CJ$9),0)+CJ51*условия!$Q$146*SUMIFS(условия!$148:$148,условия!$8:$8,"&lt;="&amp;CJ$9,условия!$9:$9,"&gt;="&amp;CJ$9)</f>
        <v>206.84849400000002</v>
      </c>
      <c r="CK97" s="33">
        <f>CJ97+IF(CK1=$Q$53,условия!$Q$146*SUMIFS(условия!$148:$148,условия!$8:$8,"&lt;="&amp;CK$9,условия!$9:$9,"&gt;="&amp;CK$9),0)+CK51*условия!$Q$146*SUMIFS(условия!$148:$148,условия!$8:$8,"&lt;="&amp;CK$9,условия!$9:$9,"&gt;="&amp;CK$9)</f>
        <v>206.84849400000002</v>
      </c>
      <c r="CL97" s="33">
        <f>CK97+IF(CL1=$Q$53,условия!$Q$146*SUMIFS(условия!$148:$148,условия!$8:$8,"&lt;="&amp;CL$9,условия!$9:$9,"&gt;="&amp;CL$9),0)+CL51*условия!$Q$146*SUMIFS(условия!$148:$148,условия!$8:$8,"&lt;="&amp;CL$9,условия!$9:$9,"&gt;="&amp;CL$9)</f>
        <v>206.84849400000002</v>
      </c>
      <c r="CM97" s="33">
        <f>CL97+IF(CM1=$Q$53,условия!$Q$146*SUMIFS(условия!$148:$148,условия!$8:$8,"&lt;="&amp;CM$9,условия!$9:$9,"&gt;="&amp;CM$9),0)+CM51*условия!$Q$146*SUMIFS(условия!$148:$148,условия!$8:$8,"&lt;="&amp;CM$9,условия!$9:$9,"&gt;="&amp;CM$9)</f>
        <v>206.84849400000002</v>
      </c>
      <c r="CN97" s="33">
        <f>CM97+IF(CN1=$Q$53,условия!$Q$146*SUMIFS(условия!$148:$148,условия!$8:$8,"&lt;="&amp;CN$9,условия!$9:$9,"&gt;="&amp;CN$9),0)+CN51*условия!$Q$146*SUMIFS(условия!$148:$148,условия!$8:$8,"&lt;="&amp;CN$9,условия!$9:$9,"&gt;="&amp;CN$9)</f>
        <v>206.84849400000002</v>
      </c>
      <c r="CO97" s="33">
        <f>CN97+IF(CO1=$Q$53,условия!$Q$146*SUMIFS(условия!$148:$148,условия!$8:$8,"&lt;="&amp;CO$9,условия!$9:$9,"&gt;="&amp;CO$9),0)+CO51*условия!$Q$146*SUMIFS(условия!$148:$148,условия!$8:$8,"&lt;="&amp;CO$9,условия!$9:$9,"&gt;="&amp;CO$9)</f>
        <v>206.84849400000002</v>
      </c>
      <c r="CP97" s="33">
        <f>CO97+IF(CP1=$Q$53,условия!$Q$146*SUMIFS(условия!$148:$148,условия!$8:$8,"&lt;="&amp;CP$9,условия!$9:$9,"&gt;="&amp;CP$9),0)+CP51*условия!$Q$146*SUMIFS(условия!$148:$148,условия!$8:$8,"&lt;="&amp;CP$9,условия!$9:$9,"&gt;="&amp;CP$9)</f>
        <v>206.84849400000002</v>
      </c>
      <c r="CQ97" s="33">
        <f>CP97+IF(CQ1=$Q$53,условия!$Q$146*SUMIFS(условия!$148:$148,условия!$8:$8,"&lt;="&amp;CQ$9,условия!$9:$9,"&gt;="&amp;CQ$9),0)+CQ51*условия!$Q$146*SUMIFS(условия!$148:$148,условия!$8:$8,"&lt;="&amp;CQ$9,условия!$9:$9,"&gt;="&amp;CQ$9)</f>
        <v>206.84849400000002</v>
      </c>
      <c r="CR97" s="33">
        <f>CQ97+IF(CR1=$Q$53,условия!$Q$146*SUMIFS(условия!$148:$148,условия!$8:$8,"&lt;="&amp;CR$9,условия!$9:$9,"&gt;="&amp;CR$9),0)+CR51*условия!$Q$146*SUMIFS(условия!$148:$148,условия!$8:$8,"&lt;="&amp;CR$9,условия!$9:$9,"&gt;="&amp;CR$9)</f>
        <v>206.84849400000002</v>
      </c>
      <c r="CS97" s="33">
        <f>CR97+IF(CS1=$Q$53,условия!$Q$146*SUMIFS(условия!$148:$148,условия!$8:$8,"&lt;="&amp;CS$9,условия!$9:$9,"&gt;="&amp;CS$9),0)+CS51*условия!$Q$146*SUMIFS(условия!$148:$148,условия!$8:$8,"&lt;="&amp;CS$9,условия!$9:$9,"&gt;="&amp;CS$9)</f>
        <v>206.84849400000002</v>
      </c>
      <c r="CT97" s="33">
        <f>CS97+IF(CT1=$Q$53,условия!$Q$146*SUMIFS(условия!$148:$148,условия!$8:$8,"&lt;="&amp;CT$9,условия!$9:$9,"&gt;="&amp;CT$9),0)+CT51*условия!$Q$146*SUMIFS(условия!$148:$148,условия!$8:$8,"&lt;="&amp;CT$9,условия!$9:$9,"&gt;="&amp;CT$9)</f>
        <v>206.84849400000002</v>
      </c>
      <c r="CU97" s="33">
        <f>CT97+IF(CU1=$Q$53,условия!$Q$146*SUMIFS(условия!$148:$148,условия!$8:$8,"&lt;="&amp;CU$9,условия!$9:$9,"&gt;="&amp;CU$9),0)+CU51*условия!$Q$146*SUMIFS(условия!$148:$148,условия!$8:$8,"&lt;="&amp;CU$9,условия!$9:$9,"&gt;="&amp;CU$9)</f>
        <v>206.84849400000002</v>
      </c>
      <c r="CV97" s="33">
        <f>CU97+IF(CV1=$Q$53,условия!$Q$146*SUMIFS(условия!$148:$148,условия!$8:$8,"&lt;="&amp;CV$9,условия!$9:$9,"&gt;="&amp;CV$9),0)+CV51*условия!$Q$146*SUMIFS(условия!$148:$148,условия!$8:$8,"&lt;="&amp;CV$9,условия!$9:$9,"&gt;="&amp;CV$9)</f>
        <v>206.84849400000002</v>
      </c>
      <c r="CW97" s="33">
        <f>CV97+IF(CW1=$Q$53,условия!$Q$146*SUMIFS(условия!$148:$148,условия!$8:$8,"&lt;="&amp;CW$9,условия!$9:$9,"&gt;="&amp;CW$9),0)+CW51*условия!$Q$146*SUMIFS(условия!$148:$148,условия!$8:$8,"&lt;="&amp;CW$9,условия!$9:$9,"&gt;="&amp;CW$9)</f>
        <v>206.84849400000002</v>
      </c>
      <c r="CX97" s="33">
        <f>CW97+IF(CX1=$Q$53,условия!$Q$146*SUMIFS(условия!$148:$148,условия!$8:$8,"&lt;="&amp;CX$9,условия!$9:$9,"&gt;="&amp;CX$9),0)+CX51*условия!$Q$146*SUMIFS(условия!$148:$148,условия!$8:$8,"&lt;="&amp;CX$9,условия!$9:$9,"&gt;="&amp;CX$9)</f>
        <v>206.84849400000002</v>
      </c>
      <c r="CY97" s="33">
        <f>CX97+IF(CY1=$Q$53,условия!$Q$146*SUMIFS(условия!$148:$148,условия!$8:$8,"&lt;="&amp;CY$9,условия!$9:$9,"&gt;="&amp;CY$9),0)+CY51*условия!$Q$146*SUMIFS(условия!$148:$148,условия!$8:$8,"&lt;="&amp;CY$9,условия!$9:$9,"&gt;="&amp;CY$9)</f>
        <v>206.84849400000002</v>
      </c>
      <c r="CZ97" s="33">
        <f>CY97+IF(CZ1=$Q$53,условия!$Q$146*SUMIFS(условия!$148:$148,условия!$8:$8,"&lt;="&amp;CZ$9,условия!$9:$9,"&gt;="&amp;CZ$9),0)+CZ51*условия!$Q$146*SUMIFS(условия!$148:$148,условия!$8:$8,"&lt;="&amp;CZ$9,условия!$9:$9,"&gt;="&amp;CZ$9)</f>
        <v>206.84849400000002</v>
      </c>
      <c r="DA97" s="33">
        <f>CZ97+IF(DA1=$Q$53,условия!$Q$146*SUMIFS(условия!$148:$148,условия!$8:$8,"&lt;="&amp;DA$9,условия!$9:$9,"&gt;="&amp;DA$9),0)+DA51*условия!$Q$146*SUMIFS(условия!$148:$148,условия!$8:$8,"&lt;="&amp;DA$9,условия!$9:$9,"&gt;="&amp;DA$9)</f>
        <v>206.84849400000002</v>
      </c>
      <c r="DB97" s="33">
        <f>DA97+IF(DB1=$Q$53,условия!$Q$146*SUMIFS(условия!$148:$148,условия!$8:$8,"&lt;="&amp;DB$9,условия!$9:$9,"&gt;="&amp;DB$9),0)+DB51*условия!$Q$146*SUMIFS(условия!$148:$148,условия!$8:$8,"&lt;="&amp;DB$9,условия!$9:$9,"&gt;="&amp;DB$9)</f>
        <v>206.84849400000002</v>
      </c>
      <c r="DC97" s="33">
        <f>DB97+IF(DC1=$Q$53,условия!$Q$146*SUMIFS(условия!$148:$148,условия!$8:$8,"&lt;="&amp;DC$9,условия!$9:$9,"&gt;="&amp;DC$9),0)+DC51*условия!$Q$146*SUMIFS(условия!$148:$148,условия!$8:$8,"&lt;="&amp;DC$9,условия!$9:$9,"&gt;="&amp;DC$9)</f>
        <v>206.84849400000002</v>
      </c>
      <c r="DD97" s="33">
        <f>DC97+IF(DD1=$Q$53,условия!$Q$146*SUMIFS(условия!$148:$148,условия!$8:$8,"&lt;="&amp;DD$9,условия!$9:$9,"&gt;="&amp;DD$9),0)+DD51*условия!$Q$146*SUMIFS(условия!$148:$148,условия!$8:$8,"&lt;="&amp;DD$9,условия!$9:$9,"&gt;="&amp;DD$9)</f>
        <v>206.84849400000002</v>
      </c>
      <c r="DE97" s="33">
        <f>DD97+IF(DE1=$Q$53,условия!$Q$146*SUMIFS(условия!$148:$148,условия!$8:$8,"&lt;="&amp;DE$9,условия!$9:$9,"&gt;="&amp;DE$9),0)+DE51*условия!$Q$146*SUMIFS(условия!$148:$148,условия!$8:$8,"&lt;="&amp;DE$9,условия!$9:$9,"&gt;="&amp;DE$9)</f>
        <v>206.84849400000002</v>
      </c>
      <c r="DF97" s="33">
        <f>DE97+IF(DF1=$Q$53,условия!$Q$146*SUMIFS(условия!$148:$148,условия!$8:$8,"&lt;="&amp;DF$9,условия!$9:$9,"&gt;="&amp;DF$9),0)+DF51*условия!$Q$146*SUMIFS(условия!$148:$148,условия!$8:$8,"&lt;="&amp;DF$9,условия!$9:$9,"&gt;="&amp;DF$9)</f>
        <v>206.84849400000002</v>
      </c>
      <c r="DG97" s="33">
        <f>DF97+IF(DG1=$Q$53,условия!$Q$146*SUMIFS(условия!$148:$148,условия!$8:$8,"&lt;="&amp;DG$9,условия!$9:$9,"&gt;="&amp;DG$9),0)+DG51*условия!$Q$146*SUMIFS(условия!$148:$148,условия!$8:$8,"&lt;="&amp;DG$9,условия!$9:$9,"&gt;="&amp;DG$9)</f>
        <v>206.84849400000002</v>
      </c>
      <c r="DH97" s="33">
        <f>DG97+IF(DH1=$Q$53,условия!$Q$146*SUMIFS(условия!$148:$148,условия!$8:$8,"&lt;="&amp;DH$9,условия!$9:$9,"&gt;="&amp;DH$9),0)+DH51*условия!$Q$146*SUMIFS(условия!$148:$148,условия!$8:$8,"&lt;="&amp;DH$9,условия!$9:$9,"&gt;="&amp;DH$9)</f>
        <v>206.84849400000002</v>
      </c>
      <c r="DI97" s="33">
        <f>DH97+IF(DI1=$Q$53,условия!$Q$146*SUMIFS(условия!$148:$148,условия!$8:$8,"&lt;="&amp;DI$9,условия!$9:$9,"&gt;="&amp;DI$9),0)+DI51*условия!$Q$146*SUMIFS(условия!$148:$148,условия!$8:$8,"&lt;="&amp;DI$9,условия!$9:$9,"&gt;="&amp;DI$9)</f>
        <v>206.84849400000002</v>
      </c>
      <c r="DJ97" s="33">
        <f>DI97+IF(DJ1=$Q$53,условия!$Q$146*SUMIFS(условия!$148:$148,условия!$8:$8,"&lt;="&amp;DJ$9,условия!$9:$9,"&gt;="&amp;DJ$9),0)+DJ51*условия!$Q$146*SUMIFS(условия!$148:$148,условия!$8:$8,"&lt;="&amp;DJ$9,условия!$9:$9,"&gt;="&amp;DJ$9)</f>
        <v>342.10296277488004</v>
      </c>
      <c r="DK97" s="33">
        <f>DJ97+IF(DK1=$Q$53,условия!$Q$146*SUMIFS(условия!$148:$148,условия!$8:$8,"&lt;="&amp;DK$9,условия!$9:$9,"&gt;="&amp;DK$9),0)+DK51*условия!$Q$146*SUMIFS(условия!$148:$148,условия!$8:$8,"&lt;="&amp;DK$9,условия!$9:$9,"&gt;="&amp;DK$9)</f>
        <v>342.10296277488004</v>
      </c>
      <c r="DL97" s="33">
        <f>DK97+IF(DL1=$Q$53,условия!$Q$146*SUMIFS(условия!$148:$148,условия!$8:$8,"&lt;="&amp;DL$9,условия!$9:$9,"&gt;="&amp;DL$9),0)+DL51*условия!$Q$146*SUMIFS(условия!$148:$148,условия!$8:$8,"&lt;="&amp;DL$9,условия!$9:$9,"&gt;="&amp;DL$9)</f>
        <v>342.10296277488004</v>
      </c>
      <c r="DM97" s="33">
        <f>DL97+IF(DM1=$Q$53,условия!$Q$146*SUMIFS(условия!$148:$148,условия!$8:$8,"&lt;="&amp;DM$9,условия!$9:$9,"&gt;="&amp;DM$9),0)+DM51*условия!$Q$146*SUMIFS(условия!$148:$148,условия!$8:$8,"&lt;="&amp;DM$9,условия!$9:$9,"&gt;="&amp;DM$9)</f>
        <v>342.10296277488004</v>
      </c>
      <c r="DN97" s="33">
        <f>DM97+IF(DN1=$Q$53,условия!$Q$146*SUMIFS(условия!$148:$148,условия!$8:$8,"&lt;="&amp;DN$9,условия!$9:$9,"&gt;="&amp;DN$9),0)+DN51*условия!$Q$146*SUMIFS(условия!$148:$148,условия!$8:$8,"&lt;="&amp;DN$9,условия!$9:$9,"&gt;="&amp;DN$9)</f>
        <v>342.10296277488004</v>
      </c>
      <c r="DO97" s="33">
        <f>DN97+IF(DO1=$Q$53,условия!$Q$146*SUMIFS(условия!$148:$148,условия!$8:$8,"&lt;="&amp;DO$9,условия!$9:$9,"&gt;="&amp;DO$9),0)+DO51*условия!$Q$146*SUMIFS(условия!$148:$148,условия!$8:$8,"&lt;="&amp;DO$9,условия!$9:$9,"&gt;="&amp;DO$9)</f>
        <v>342.10296277488004</v>
      </c>
      <c r="DP97" s="33">
        <f>DO97+IF(DP1=$Q$53,условия!$Q$146*SUMIFS(условия!$148:$148,условия!$8:$8,"&lt;="&amp;DP$9,условия!$9:$9,"&gt;="&amp;DP$9),0)+DP51*условия!$Q$146*SUMIFS(условия!$148:$148,условия!$8:$8,"&lt;="&amp;DP$9,условия!$9:$9,"&gt;="&amp;DP$9)</f>
        <v>342.10296277488004</v>
      </c>
      <c r="DQ97" s="33">
        <f>DP97+IF(DQ1=$Q$53,условия!$Q$146*SUMIFS(условия!$148:$148,условия!$8:$8,"&lt;="&amp;DQ$9,условия!$9:$9,"&gt;="&amp;DQ$9),0)+DQ51*условия!$Q$146*SUMIFS(условия!$148:$148,условия!$8:$8,"&lt;="&amp;DQ$9,условия!$9:$9,"&gt;="&amp;DQ$9)</f>
        <v>342.10296277488004</v>
      </c>
      <c r="DR97" s="33">
        <f>DQ97+IF(DR1=$Q$53,условия!$Q$146*SUMIFS(условия!$148:$148,условия!$8:$8,"&lt;="&amp;DR$9,условия!$9:$9,"&gt;="&amp;DR$9),0)+DR51*условия!$Q$146*SUMIFS(условия!$148:$148,условия!$8:$8,"&lt;="&amp;DR$9,условия!$9:$9,"&gt;="&amp;DR$9)</f>
        <v>342.10296277488004</v>
      </c>
      <c r="DS97" s="33">
        <f>DR97+IF(DS1=$Q$53,условия!$Q$146*SUMIFS(условия!$148:$148,условия!$8:$8,"&lt;="&amp;DS$9,условия!$9:$9,"&gt;="&amp;DS$9),0)+DS51*условия!$Q$146*SUMIFS(условия!$148:$148,условия!$8:$8,"&lt;="&amp;DS$9,условия!$9:$9,"&gt;="&amp;DS$9)</f>
        <v>342.10296277488004</v>
      </c>
      <c r="DT97" s="33">
        <f>DS97+IF(DT1=$Q$53,условия!$Q$146*SUMIFS(условия!$148:$148,условия!$8:$8,"&lt;="&amp;DT$9,условия!$9:$9,"&gt;="&amp;DT$9),0)+DT51*условия!$Q$146*SUMIFS(условия!$148:$148,условия!$8:$8,"&lt;="&amp;DT$9,условия!$9:$9,"&gt;="&amp;DT$9)</f>
        <v>342.10296277488004</v>
      </c>
      <c r="DU97" s="33">
        <f>DT97+IF(DU1=$Q$53,условия!$Q$146*SUMIFS(условия!$148:$148,условия!$8:$8,"&lt;="&amp;DU$9,условия!$9:$9,"&gt;="&amp;DU$9),0)+DU51*условия!$Q$146*SUMIFS(условия!$148:$148,условия!$8:$8,"&lt;="&amp;DU$9,условия!$9:$9,"&gt;="&amp;DU$9)</f>
        <v>342.10296277488004</v>
      </c>
      <c r="DV97" s="33">
        <f>DU97+IF(DV1=$Q$53,условия!$Q$146*SUMIFS(условия!$148:$148,условия!$8:$8,"&lt;="&amp;DV$9,условия!$9:$9,"&gt;="&amp;DV$9),0)+DV51*условия!$Q$146*SUMIFS(условия!$148:$148,условия!$8:$8,"&lt;="&amp;DV$9,условия!$9:$9,"&gt;="&amp;DV$9)</f>
        <v>342.10296277488004</v>
      </c>
      <c r="DW97" s="33">
        <f>DV97+IF(DW1=$Q$53,условия!$Q$146*SUMIFS(условия!$148:$148,условия!$8:$8,"&lt;="&amp;DW$9,условия!$9:$9,"&gt;="&amp;DW$9),0)+DW51*условия!$Q$146*SUMIFS(условия!$148:$148,условия!$8:$8,"&lt;="&amp;DW$9,условия!$9:$9,"&gt;="&amp;DW$9)</f>
        <v>342.10296277488004</v>
      </c>
      <c r="DX97" s="33">
        <f>DW97+IF(DX1=$Q$53,условия!$Q$146*SUMIFS(условия!$148:$148,условия!$8:$8,"&lt;="&amp;DX$9,условия!$9:$9,"&gt;="&amp;DX$9),0)+DX51*условия!$Q$146*SUMIFS(условия!$148:$148,условия!$8:$8,"&lt;="&amp;DX$9,условия!$9:$9,"&gt;="&amp;DX$9)</f>
        <v>342.10296277488004</v>
      </c>
      <c r="DY97" s="33">
        <f>DX97+IF(DY1=$Q$53,условия!$Q$146*SUMIFS(условия!$148:$148,условия!$8:$8,"&lt;="&amp;DY$9,условия!$9:$9,"&gt;="&amp;DY$9),0)+DY51*условия!$Q$146*SUMIFS(условия!$148:$148,условия!$8:$8,"&lt;="&amp;DY$9,условия!$9:$9,"&gt;="&amp;DY$9)</f>
        <v>342.10296277488004</v>
      </c>
      <c r="DZ97" s="33">
        <f>DY97+IF(DZ1=$Q$53,условия!$Q$146*SUMIFS(условия!$148:$148,условия!$8:$8,"&lt;="&amp;DZ$9,условия!$9:$9,"&gt;="&amp;DZ$9),0)+DZ51*условия!$Q$146*SUMIFS(условия!$148:$148,условия!$8:$8,"&lt;="&amp;DZ$9,условия!$9:$9,"&gt;="&amp;DZ$9)</f>
        <v>342.10296277488004</v>
      </c>
      <c r="EA97" s="33">
        <f>DZ97+IF(EA1=$Q$53,условия!$Q$146*SUMIFS(условия!$148:$148,условия!$8:$8,"&lt;="&amp;EA$9,условия!$9:$9,"&gt;="&amp;EA$9),0)+EA51*условия!$Q$146*SUMIFS(условия!$148:$148,условия!$8:$8,"&lt;="&amp;EA$9,условия!$9:$9,"&gt;="&amp;EA$9)</f>
        <v>342.10296277488004</v>
      </c>
      <c r="EB97" s="33">
        <f>EA97+IF(EB1=$Q$53,условия!$Q$146*SUMIFS(условия!$148:$148,условия!$8:$8,"&lt;="&amp;EB$9,условия!$9:$9,"&gt;="&amp;EB$9),0)+EB51*условия!$Q$146*SUMIFS(условия!$148:$148,условия!$8:$8,"&lt;="&amp;EB$9,условия!$9:$9,"&gt;="&amp;EB$9)</f>
        <v>342.10296277488004</v>
      </c>
      <c r="EC97" s="33">
        <f>EB97+IF(EC1=$Q$53,условия!$Q$146*SUMIFS(условия!$148:$148,условия!$8:$8,"&lt;="&amp;EC$9,условия!$9:$9,"&gt;="&amp;EC$9),0)+EC51*условия!$Q$146*SUMIFS(условия!$148:$148,условия!$8:$8,"&lt;="&amp;EC$9,условия!$9:$9,"&gt;="&amp;EC$9)</f>
        <v>342.10296277488004</v>
      </c>
      <c r="ED97" s="33">
        <f>EC97+IF(ED1=$Q$53,условия!$Q$146*SUMIFS(условия!$148:$148,условия!$8:$8,"&lt;="&amp;ED$9,условия!$9:$9,"&gt;="&amp;ED$9),0)+ED51*условия!$Q$146*SUMIFS(условия!$148:$148,условия!$8:$8,"&lt;="&amp;ED$9,условия!$9:$9,"&gt;="&amp;ED$9)</f>
        <v>342.10296277488004</v>
      </c>
      <c r="EE97" s="33">
        <f>ED97+IF(EE1=$Q$53,условия!$Q$146*SUMIFS(условия!$148:$148,условия!$8:$8,"&lt;="&amp;EE$9,условия!$9:$9,"&gt;="&amp;EE$9),0)+EE51*условия!$Q$146*SUMIFS(условия!$148:$148,условия!$8:$8,"&lt;="&amp;EE$9,условия!$9:$9,"&gt;="&amp;EE$9)</f>
        <v>342.10296277488004</v>
      </c>
      <c r="EF97" s="33">
        <f>EE97+IF(EF1=$Q$53,условия!$Q$146*SUMIFS(условия!$148:$148,условия!$8:$8,"&lt;="&amp;EF$9,условия!$9:$9,"&gt;="&amp;EF$9),0)+EF51*условия!$Q$146*SUMIFS(условия!$148:$148,условия!$8:$8,"&lt;="&amp;EF$9,условия!$9:$9,"&gt;="&amp;EF$9)</f>
        <v>342.10296277488004</v>
      </c>
      <c r="EG97" s="33">
        <f>EF97+IF(EG1=$Q$53,условия!$Q$146*SUMIFS(условия!$148:$148,условия!$8:$8,"&lt;="&amp;EG$9,условия!$9:$9,"&gt;="&amp;EG$9),0)+EG51*условия!$Q$146*SUMIFS(условия!$148:$148,условия!$8:$8,"&lt;="&amp;EG$9,условия!$9:$9,"&gt;="&amp;EG$9)</f>
        <v>342.10296277488004</v>
      </c>
      <c r="EH97" s="33">
        <f>EG97+IF(EH1=$Q$53,условия!$Q$146*SUMIFS(условия!$148:$148,условия!$8:$8,"&lt;="&amp;EH$9,условия!$9:$9,"&gt;="&amp;EH$9),0)+EH51*условия!$Q$146*SUMIFS(условия!$148:$148,условия!$8:$8,"&lt;="&amp;EH$9,условия!$9:$9,"&gt;="&amp;EH$9)</f>
        <v>342.10296277488004</v>
      </c>
      <c r="EI97" s="33">
        <f>EH97+IF(EI1=$Q$53,условия!$Q$146*SUMIFS(условия!$148:$148,условия!$8:$8,"&lt;="&amp;EI$9,условия!$9:$9,"&gt;="&amp;EI$9),0)+EI51*условия!$Q$146*SUMIFS(условия!$148:$148,условия!$8:$8,"&lt;="&amp;EI$9,условия!$9:$9,"&gt;="&amp;EI$9)</f>
        <v>342.10296277488004</v>
      </c>
      <c r="EJ97" s="3"/>
      <c r="EK97" s="3"/>
    </row>
    <row r="98" spans="1:14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</row>
    <row r="99" spans="1:141" x14ac:dyDescent="0.25">
      <c r="A99" s="3"/>
      <c r="B99" s="3"/>
      <c r="C99" s="3"/>
      <c r="D99" s="3"/>
      <c r="E99" s="3"/>
      <c r="F99" s="10" t="str">
        <f>KPI!$F$98</f>
        <v>переменный ФОТ персонала склада СиМ</v>
      </c>
      <c r="G99" s="3"/>
      <c r="H99" s="3"/>
      <c r="I99" s="3"/>
      <c r="J99" s="5" t="str">
        <f>IF($F99="","",INDEX(KPI!$I$11:$I$275,SUMIFS(KPI!$E$11:$E$275,KPI!$F$11:$F$275,$F99)))</f>
        <v>тыс.руб.</v>
      </c>
      <c r="K99" s="3"/>
      <c r="L99" s="3"/>
      <c r="M99" s="3"/>
      <c r="N99" s="3"/>
      <c r="O99" s="3"/>
      <c r="P99" s="3"/>
      <c r="Q99" s="12">
        <f>SUM(S99:EJ99)</f>
        <v>32720.016102591344</v>
      </c>
      <c r="R99" s="3"/>
      <c r="S99" s="55"/>
      <c r="T99" s="33">
        <f>IF(условия!$Q$150=0,0,IF(T33&lt;0,0,T33/условия!$Q$150)*SUMIFS(условия!$152:$152,условия!$8:$8,"&lt;="&amp;T$9,условия!$9:$9,"&gt;="&amp;T$9))</f>
        <v>0</v>
      </c>
      <c r="U99" s="33">
        <f>IF(условия!$Q$150=0,0,IF(U33&lt;0,0,U33/условия!$Q$150)*SUMIFS(условия!$152:$152,условия!$8:$8,"&lt;="&amp;U$9,условия!$9:$9,"&gt;="&amp;U$9))</f>
        <v>0</v>
      </c>
      <c r="V99" s="33">
        <f>IF(условия!$Q$150=0,0,IF(V33&lt;0,0,V33/условия!$Q$150)*SUMIFS(условия!$152:$152,условия!$8:$8,"&lt;="&amp;V$9,условия!$9:$9,"&gt;="&amp;V$9))</f>
        <v>0</v>
      </c>
      <c r="W99" s="33">
        <f>IF(условия!$Q$150=0,0,IF(W33&lt;0,0,W33/условия!$Q$150)*SUMIFS(условия!$152:$152,условия!$8:$8,"&lt;="&amp;W$9,условия!$9:$9,"&gt;="&amp;W$9))</f>
        <v>0</v>
      </c>
      <c r="X99" s="33">
        <f>IF(условия!$Q$150=0,0,IF(X33&lt;0,0,X33/условия!$Q$150)*SUMIFS(условия!$152:$152,условия!$8:$8,"&lt;="&amp;X$9,условия!$9:$9,"&gt;="&amp;X$9))</f>
        <v>45.115309573361081</v>
      </c>
      <c r="Y99" s="33">
        <f>IF(условия!$Q$150=0,0,IF(Y33&lt;0,0,Y33/условия!$Q$150)*SUMIFS(условия!$152:$152,условия!$8:$8,"&lt;="&amp;Y$9,условия!$9:$9,"&gt;="&amp;Y$9))</f>
        <v>0</v>
      </c>
      <c r="Z99" s="33">
        <f>IF(условия!$Q$150=0,0,IF(Z33&lt;0,0,Z33/условия!$Q$150)*SUMIFS(условия!$152:$152,условия!$8:$8,"&lt;="&amp;Z$9,условия!$9:$9,"&gt;="&amp;Z$9))</f>
        <v>0</v>
      </c>
      <c r="AA99" s="33">
        <f>IF(условия!$Q$150=0,0,IF(AA33&lt;0,0,AA33/условия!$Q$150)*SUMIFS(условия!$152:$152,условия!$8:$8,"&lt;="&amp;AA$9,условия!$9:$9,"&gt;="&amp;AA$9))</f>
        <v>0</v>
      </c>
      <c r="AB99" s="33">
        <f>IF(условия!$Q$150=0,0,IF(AB33&lt;0,0,AB33/условия!$Q$150)*SUMIFS(условия!$152:$152,условия!$8:$8,"&lt;="&amp;AB$9,условия!$9:$9,"&gt;="&amp;AB$9))</f>
        <v>0</v>
      </c>
      <c r="AC99" s="33">
        <f>IF(условия!$Q$150=0,0,IF(AC33&lt;0,0,AC33/условия!$Q$150)*SUMIFS(условия!$152:$152,условия!$8:$8,"&lt;="&amp;AC$9,условия!$9:$9,"&gt;="&amp;AC$9))</f>
        <v>4.6722814776274832</v>
      </c>
      <c r="AD99" s="33">
        <f>IF(условия!$Q$150=0,0,IF(AD33&lt;0,0,AD33/условия!$Q$150)*SUMIFS(условия!$152:$152,условия!$8:$8,"&lt;="&amp;AD$9,условия!$9:$9,"&gt;="&amp;AD$9))</f>
        <v>20.751430801248677</v>
      </c>
      <c r="AE99" s="33">
        <f>IF(условия!$Q$150=0,0,IF(AE33&lt;0,0,AE33/условия!$Q$150)*SUMIFS(условия!$152:$152,условия!$8:$8,"&lt;="&amp;AE$9,условия!$9:$9,"&gt;="&amp;AE$9))</f>
        <v>0</v>
      </c>
      <c r="AF99" s="33">
        <f>IF(условия!$Q$150=0,0,IF(AF33&lt;0,0,AF33/условия!$Q$150)*SUMIFS(условия!$152:$152,условия!$8:$8,"&lt;="&amp;AF$9,условия!$9:$9,"&gt;="&amp;AF$9))</f>
        <v>84.499856269510943</v>
      </c>
      <c r="AG99" s="33">
        <f>IF(условия!$Q$150=0,0,IF(AG33&lt;0,0,AG33/условия!$Q$150)*SUMIFS(условия!$152:$152,условия!$8:$8,"&lt;="&amp;AG$9,условия!$9:$9,"&gt;="&amp;AG$9))</f>
        <v>0</v>
      </c>
      <c r="AH99" s="33">
        <f>IF(условия!$Q$150=0,0,IF(AH33&lt;0,0,AH33/условия!$Q$150)*SUMIFS(условия!$152:$152,условия!$8:$8,"&lt;="&amp;AH$9,условия!$9:$9,"&gt;="&amp;AH$9))</f>
        <v>0</v>
      </c>
      <c r="AI99" s="33">
        <f>IF(условия!$Q$150=0,0,IF(AI33&lt;0,0,AI33/условия!$Q$150)*SUMIFS(условия!$152:$152,условия!$8:$8,"&lt;="&amp;AI$9,условия!$9:$9,"&gt;="&amp;AI$9))</f>
        <v>0</v>
      </c>
      <c r="AJ99" s="33">
        <f>IF(условия!$Q$150=0,0,IF(AJ33&lt;0,0,AJ33/условия!$Q$150)*SUMIFS(условия!$152:$152,условия!$8:$8,"&lt;="&amp;AJ$9,условия!$9:$9,"&gt;="&amp;AJ$9))</f>
        <v>3.155777185223692</v>
      </c>
      <c r="AK99" s="33">
        <f>IF(условия!$Q$150=0,0,IF(AK33&lt;0,0,AK33/условия!$Q$150)*SUMIFS(условия!$152:$152,условия!$8:$8,"&lt;="&amp;AK$9,условия!$9:$9,"&gt;="&amp;AK$9))</f>
        <v>19.078642039542146</v>
      </c>
      <c r="AL99" s="33">
        <f>IF(условия!$Q$150=0,0,IF(AL33&lt;0,0,AL33/условия!$Q$150)*SUMIFS(условия!$152:$152,условия!$8:$8,"&lt;="&amp;AL$9,условия!$9:$9,"&gt;="&amp;AL$9))</f>
        <v>8.0697034339230242</v>
      </c>
      <c r="AM99" s="33">
        <f>IF(условия!$Q$150=0,0,IF(AM33&lt;0,0,AM33/условия!$Q$150)*SUMIFS(условия!$152:$152,условия!$8:$8,"&lt;="&amp;AM$9,условия!$9:$9,"&gt;="&amp;AM$9))</f>
        <v>43.249032908428667</v>
      </c>
      <c r="AN99" s="33">
        <f>IF(условия!$Q$150=0,0,IF(AN33&lt;0,0,AN33/условия!$Q$150)*SUMIFS(условия!$152:$152,условия!$8:$8,"&lt;="&amp;AN$9,условия!$9:$9,"&gt;="&amp;AN$9))</f>
        <v>54.701667533819005</v>
      </c>
      <c r="AO99" s="33">
        <f>IF(условия!$Q$150=0,0,IF(AO33&lt;0,0,AO33/условия!$Q$150)*SUMIFS(условия!$152:$152,условия!$8:$8,"&lt;="&amp;AO$9,условия!$9:$9,"&gt;="&amp;AO$9))</f>
        <v>0.30487968262218107</v>
      </c>
      <c r="AP99" s="33">
        <f>IF(условия!$Q$150=0,0,IF(AP33&lt;0,0,AP33/условия!$Q$150)*SUMIFS(условия!$152:$152,условия!$8:$8,"&lt;="&amp;AP$9,условия!$9:$9,"&gt;="&amp;AP$9))</f>
        <v>149.70022632674306</v>
      </c>
      <c r="AQ99" s="33">
        <f>IF(условия!$Q$150=0,0,IF(AQ33&lt;0,0,AQ33/условия!$Q$150)*SUMIFS(условия!$152:$152,условия!$8:$8,"&lt;="&amp;AQ$9,условия!$9:$9,"&gt;="&amp;AQ$9))</f>
        <v>1.3369572116062046E-14</v>
      </c>
      <c r="AR99" s="33">
        <f>IF(условия!$Q$150=0,0,IF(AR33&lt;0,0,AR33/условия!$Q$150)*SUMIFS(условия!$152:$152,условия!$8:$8,"&lt;="&amp;AR$9,условия!$9:$9,"&gt;="&amp;AR$9))</f>
        <v>64.474885477367238</v>
      </c>
      <c r="AS99" s="33">
        <f>IF(условия!$Q$150=0,0,IF(AS33&lt;0,0,AS33/условия!$Q$150)*SUMIFS(условия!$152:$152,условия!$8:$8,"&lt;="&amp;AS$9,условия!$9:$9,"&gt;="&amp;AS$9))</f>
        <v>0</v>
      </c>
      <c r="AT99" s="33">
        <f>IF(условия!$Q$150=0,0,IF(AT33&lt;0,0,AT33/условия!$Q$150)*SUMIFS(условия!$152:$152,условия!$8:$8,"&lt;="&amp;AT$9,условия!$9:$9,"&gt;="&amp;AT$9))</f>
        <v>136.79821051638928</v>
      </c>
      <c r="AU99" s="33">
        <f>IF(условия!$Q$150=0,0,IF(AU33&lt;0,0,AU33/условия!$Q$150)*SUMIFS(условия!$152:$152,условия!$8:$8,"&lt;="&amp;AU$9,условия!$9:$9,"&gt;="&amp;AU$9))</f>
        <v>0</v>
      </c>
      <c r="AV99" s="33">
        <f>IF(условия!$Q$150=0,0,IF(AV33&lt;0,0,AV33/условия!$Q$150)*SUMIFS(условия!$152:$152,условия!$8:$8,"&lt;="&amp;AV$9,условия!$9:$9,"&gt;="&amp;AV$9))</f>
        <v>0</v>
      </c>
      <c r="AW99" s="33">
        <f>IF(условия!$Q$150=0,0,IF(AW33&lt;0,0,AW33/условия!$Q$150)*SUMIFS(условия!$152:$152,условия!$8:$8,"&lt;="&amp;AW$9,условия!$9:$9,"&gt;="&amp;AW$9))</f>
        <v>0</v>
      </c>
      <c r="AX99" s="33">
        <f>IF(условия!$Q$150=0,0,IF(AX33&lt;0,0,AX33/условия!$Q$150)*SUMIFS(условия!$152:$152,условия!$8:$8,"&lt;="&amp;AX$9,условия!$9:$9,"&gt;="&amp;AX$9))</f>
        <v>42.083360958636803</v>
      </c>
      <c r="AY99" s="33">
        <f>IF(условия!$Q$150=0,0,IF(AY33&lt;0,0,AY33/условия!$Q$150)*SUMIFS(условия!$152:$152,условия!$8:$8,"&lt;="&amp;AY$9,условия!$9:$9,"&gt;="&amp;AY$9))</f>
        <v>120.62115497528632</v>
      </c>
      <c r="AZ99" s="33">
        <f>IF(условия!$Q$150=0,0,IF(AZ33&lt;0,0,AZ33/условия!$Q$150)*SUMIFS(условия!$152:$152,условия!$8:$8,"&lt;="&amp;AZ$9,условия!$9:$9,"&gt;="&amp;AZ$9))</f>
        <v>130.4197613943806</v>
      </c>
      <c r="BA99" s="33">
        <f>IF(условия!$Q$150=0,0,IF(BA33&lt;0,0,BA33/условия!$Q$150)*SUMIFS(условия!$152:$152,условия!$8:$8,"&lt;="&amp;BA$9,условия!$9:$9,"&gt;="&amp;BA$9))</f>
        <v>42.854057407648746</v>
      </c>
      <c r="BB99" s="33">
        <f>IF(условия!$Q$150=0,0,IF(BB33&lt;0,0,BB33/условия!$Q$150)*SUMIFS(условия!$152:$152,условия!$8:$8,"&lt;="&amp;BB$9,условия!$9:$9,"&gt;="&amp;BB$9))</f>
        <v>352.58963588709611</v>
      </c>
      <c r="BC99" s="33">
        <f>IF(условия!$Q$150=0,0,IF(BC33&lt;0,0,BC33/условия!$Q$150)*SUMIFS(условия!$152:$152,условия!$8:$8,"&lt;="&amp;BC$9,условия!$9:$9,"&gt;="&amp;BC$9))</f>
        <v>0</v>
      </c>
      <c r="BD99" s="33">
        <f>IF(условия!$Q$150=0,0,IF(BD33&lt;0,0,BD33/условия!$Q$150)*SUMIFS(условия!$152:$152,условия!$8:$8,"&lt;="&amp;BD$9,условия!$9:$9,"&gt;="&amp;BD$9))</f>
        <v>0</v>
      </c>
      <c r="BE99" s="33">
        <f>IF(условия!$Q$150=0,0,IF(BE33&lt;0,0,BE33/условия!$Q$150)*SUMIFS(условия!$152:$152,условия!$8:$8,"&lt;="&amp;BE$9,условия!$9:$9,"&gt;="&amp;BE$9))</f>
        <v>0</v>
      </c>
      <c r="BF99" s="33">
        <f>IF(условия!$Q$150=0,0,IF(BF33&lt;0,0,BF33/условия!$Q$150)*SUMIFS(условия!$152:$152,условия!$8:$8,"&lt;="&amp;BF$9,условия!$9:$9,"&gt;="&amp;BF$9))</f>
        <v>286.87111690985142</v>
      </c>
      <c r="BG99" s="33">
        <f>IF(условия!$Q$150=0,0,IF(BG33&lt;0,0,BG33/условия!$Q$150)*SUMIFS(условия!$152:$152,условия!$8:$8,"&lt;="&amp;BG$9,условия!$9:$9,"&gt;="&amp;BG$9))</f>
        <v>0</v>
      </c>
      <c r="BH99" s="33">
        <f>IF(условия!$Q$150=0,0,IF(BH33&lt;0,0,BH33/условия!$Q$150)*SUMIFS(условия!$152:$152,условия!$8:$8,"&lt;="&amp;BH$9,условия!$9:$9,"&gt;="&amp;BH$9))</f>
        <v>0</v>
      </c>
      <c r="BI99" s="33">
        <f>IF(условия!$Q$150=0,0,IF(BI33&lt;0,0,BI33/условия!$Q$150)*SUMIFS(условия!$152:$152,условия!$8:$8,"&lt;="&amp;BI$9,условия!$9:$9,"&gt;="&amp;BI$9))</f>
        <v>89.151210319689909</v>
      </c>
      <c r="BJ99" s="33">
        <f>IF(условия!$Q$150=0,0,IF(BJ33&lt;0,0,BJ33/условия!$Q$150)*SUMIFS(условия!$152:$152,условия!$8:$8,"&lt;="&amp;BJ$9,условия!$9:$9,"&gt;="&amp;BJ$9))</f>
        <v>0</v>
      </c>
      <c r="BK99" s="33">
        <f>IF(условия!$Q$150=0,0,IF(BK33&lt;0,0,BK33/условия!$Q$150)*SUMIFS(условия!$152:$152,условия!$8:$8,"&lt;="&amp;BK$9,условия!$9:$9,"&gt;="&amp;BK$9))</f>
        <v>335.46652077141727</v>
      </c>
      <c r="BL99" s="33">
        <f>IF(условия!$Q$150=0,0,IF(BL33&lt;0,0,BL33/условия!$Q$150)*SUMIFS(условия!$152:$152,условия!$8:$8,"&lt;="&amp;BL$9,условия!$9:$9,"&gt;="&amp;BL$9))</f>
        <v>52.142337983693089</v>
      </c>
      <c r="BM99" s="33">
        <f>IF(условия!$Q$150=0,0,IF(BM33&lt;0,0,BM33/условия!$Q$150)*SUMIFS(условия!$152:$152,условия!$8:$8,"&lt;="&amp;BM$9,условия!$9:$9,"&gt;="&amp;BM$9))</f>
        <v>397.73550056218545</v>
      </c>
      <c r="BN99" s="33">
        <f>IF(условия!$Q$150=0,0,IF(BN33&lt;0,0,BN33/условия!$Q$150)*SUMIFS(условия!$152:$152,условия!$8:$8,"&lt;="&amp;BN$9,условия!$9:$9,"&gt;="&amp;BN$9))</f>
        <v>268.97758891612995</v>
      </c>
      <c r="BO99" s="33">
        <f>IF(условия!$Q$150=0,0,IF(BO33&lt;0,0,BO33/условия!$Q$150)*SUMIFS(условия!$152:$152,условия!$8:$8,"&lt;="&amp;BO$9,условия!$9:$9,"&gt;="&amp;BO$9))</f>
        <v>0</v>
      </c>
      <c r="BP99" s="33">
        <f>IF(условия!$Q$150=0,0,IF(BP33&lt;0,0,BP33/условия!$Q$150)*SUMIFS(условия!$152:$152,условия!$8:$8,"&lt;="&amp;BP$9,условия!$9:$9,"&gt;="&amp;BP$9))</f>
        <v>22.818556069825071</v>
      </c>
      <c r="BQ99" s="33">
        <f>IF(условия!$Q$150=0,0,IF(BQ33&lt;0,0,BQ33/условия!$Q$150)*SUMIFS(условия!$152:$152,условия!$8:$8,"&lt;="&amp;BQ$9,условия!$9:$9,"&gt;="&amp;BQ$9))</f>
        <v>616.5866465175319</v>
      </c>
      <c r="BR99" s="33">
        <f>IF(условия!$Q$150=0,0,IF(BR33&lt;0,0,BR33/условия!$Q$150)*SUMIFS(условия!$152:$152,условия!$8:$8,"&lt;="&amp;BR$9,условия!$9:$9,"&gt;="&amp;BR$9))</f>
        <v>0</v>
      </c>
      <c r="BS99" s="33">
        <f>IF(условия!$Q$150=0,0,IF(BS33&lt;0,0,BS33/условия!$Q$150)*SUMIFS(условия!$152:$152,условия!$8:$8,"&lt;="&amp;BS$9,условия!$9:$9,"&gt;="&amp;BS$9))</f>
        <v>279.71567766257942</v>
      </c>
      <c r="BT99" s="33">
        <f>IF(условия!$Q$150=0,0,IF(BT33&lt;0,0,BT33/условия!$Q$150)*SUMIFS(условия!$152:$152,условия!$8:$8,"&lt;="&amp;BT$9,условия!$9:$9,"&gt;="&amp;BT$9))</f>
        <v>0</v>
      </c>
      <c r="BU99" s="33">
        <f>IF(условия!$Q$150=0,0,IF(BU33&lt;0,0,BU33/условия!$Q$150)*SUMIFS(условия!$152:$152,условия!$8:$8,"&lt;="&amp;BU$9,условия!$9:$9,"&gt;="&amp;BU$9))</f>
        <v>215.54324386000118</v>
      </c>
      <c r="BV99" s="33">
        <f>IF(условия!$Q$150=0,0,IF(BV33&lt;0,0,BV33/условия!$Q$150)*SUMIFS(условия!$152:$152,условия!$8:$8,"&lt;="&amp;BV$9,условия!$9:$9,"&gt;="&amp;BV$9))</f>
        <v>0</v>
      </c>
      <c r="BW99" s="33">
        <f>IF(условия!$Q$150=0,0,IF(BW33&lt;0,0,BW33/условия!$Q$150)*SUMIFS(условия!$152:$152,условия!$8:$8,"&lt;="&amp;BW$9,условия!$9:$9,"&gt;="&amp;BW$9))</f>
        <v>574.72319530042398</v>
      </c>
      <c r="BX99" s="33">
        <f>IF(условия!$Q$150=0,0,IF(BX33&lt;0,0,BX33/условия!$Q$150)*SUMIFS(условия!$152:$152,условия!$8:$8,"&lt;="&amp;BX$9,условия!$9:$9,"&gt;="&amp;BX$9))</f>
        <v>0</v>
      </c>
      <c r="BY99" s="33">
        <f>IF(условия!$Q$150=0,0,IF(BY33&lt;0,0,BY33/условия!$Q$150)*SUMIFS(условия!$152:$152,условия!$8:$8,"&lt;="&amp;BY$9,условия!$9:$9,"&gt;="&amp;BY$9))</f>
        <v>1024.7271995732494</v>
      </c>
      <c r="BZ99" s="33">
        <f>IF(условия!$Q$150=0,0,IF(BZ33&lt;0,0,BZ33/условия!$Q$150)*SUMIFS(условия!$152:$152,условия!$8:$8,"&lt;="&amp;BZ$9,условия!$9:$9,"&gt;="&amp;BZ$9))</f>
        <v>0</v>
      </c>
      <c r="CA99" s="33">
        <f>IF(условия!$Q$150=0,0,IF(CA33&lt;0,0,CA33/условия!$Q$150)*SUMIFS(условия!$152:$152,условия!$8:$8,"&lt;="&amp;CA$9,условия!$9:$9,"&gt;="&amp;CA$9))</f>
        <v>0</v>
      </c>
      <c r="CB99" s="33">
        <f>IF(условия!$Q$150=0,0,IF(CB33&lt;0,0,CB33/условия!$Q$150)*SUMIFS(условия!$152:$152,условия!$8:$8,"&lt;="&amp;CB$9,условия!$9:$9,"&gt;="&amp;CB$9))</f>
        <v>0</v>
      </c>
      <c r="CC99" s="33">
        <f>IF(условия!$Q$150=0,0,IF(CC33&lt;0,0,CC33/условия!$Q$150)*SUMIFS(условия!$152:$152,условия!$8:$8,"&lt;="&amp;CC$9,условия!$9:$9,"&gt;="&amp;CC$9))</f>
        <v>1574.2219212807413</v>
      </c>
      <c r="CD99" s="33">
        <f>IF(условия!$Q$150=0,0,IF(CD33&lt;0,0,CD33/условия!$Q$150)*SUMIFS(условия!$152:$152,условия!$8:$8,"&lt;="&amp;CD$9,условия!$9:$9,"&gt;="&amp;CD$9))</f>
        <v>0</v>
      </c>
      <c r="CE99" s="33">
        <f>IF(условия!$Q$150=0,0,IF(CE33&lt;0,0,CE33/условия!$Q$150)*SUMIFS(условия!$152:$152,условия!$8:$8,"&lt;="&amp;CE$9,условия!$9:$9,"&gt;="&amp;CE$9))</f>
        <v>0</v>
      </c>
      <c r="CF99" s="33">
        <f>IF(условия!$Q$150=0,0,IF(CF33&lt;0,0,CF33/условия!$Q$150)*SUMIFS(условия!$152:$152,условия!$8:$8,"&lt;="&amp;CF$9,условия!$9:$9,"&gt;="&amp;CF$9))</f>
        <v>0</v>
      </c>
      <c r="CG99" s="33">
        <f>IF(условия!$Q$150=0,0,IF(CG33&lt;0,0,CG33/условия!$Q$150)*SUMIFS(условия!$152:$152,условия!$8:$8,"&lt;="&amp;CG$9,условия!$9:$9,"&gt;="&amp;CG$9))</f>
        <v>0</v>
      </c>
      <c r="CH99" s="33">
        <f>IF(условия!$Q$150=0,0,IF(CH33&lt;0,0,CH33/условия!$Q$150)*SUMIFS(условия!$152:$152,условия!$8:$8,"&lt;="&amp;CH$9,условия!$9:$9,"&gt;="&amp;CH$9))</f>
        <v>0</v>
      </c>
      <c r="CI99" s="33">
        <f>IF(условия!$Q$150=0,0,IF(CI33&lt;0,0,CI33/условия!$Q$150)*SUMIFS(условия!$152:$152,условия!$8:$8,"&lt;="&amp;CI$9,условия!$9:$9,"&gt;="&amp;CI$9))</f>
        <v>622.2258679082272</v>
      </c>
      <c r="CJ99" s="33">
        <f>IF(условия!$Q$150=0,0,IF(CJ33&lt;0,0,CJ33/условия!$Q$150)*SUMIFS(условия!$152:$152,условия!$8:$8,"&lt;="&amp;CJ$9,условия!$9:$9,"&gt;="&amp;CJ$9))</f>
        <v>421.31468866950786</v>
      </c>
      <c r="CK99" s="33">
        <f>IF(условия!$Q$150=0,0,IF(CK33&lt;0,0,CK33/условия!$Q$150)*SUMIFS(условия!$152:$152,условия!$8:$8,"&lt;="&amp;CK$9,условия!$9:$9,"&gt;="&amp;CK$9))</f>
        <v>696.80196342452723</v>
      </c>
      <c r="CL99" s="33">
        <f>IF(условия!$Q$150=0,0,IF(CL33&lt;0,0,CL33/условия!$Q$150)*SUMIFS(условия!$152:$152,условия!$8:$8,"&lt;="&amp;CL$9,условия!$9:$9,"&gt;="&amp;CL$9))</f>
        <v>1038.6355666539735</v>
      </c>
      <c r="CM99" s="33">
        <f>IF(условия!$Q$150=0,0,IF(CM33&lt;0,0,CM33/условия!$Q$150)*SUMIFS(условия!$152:$152,условия!$8:$8,"&lt;="&amp;CM$9,условия!$9:$9,"&gt;="&amp;CM$9))</f>
        <v>0</v>
      </c>
      <c r="CN99" s="33">
        <f>IF(условия!$Q$150=0,0,IF(CN33&lt;0,0,CN33/условия!$Q$150)*SUMIFS(условия!$152:$152,условия!$8:$8,"&lt;="&amp;CN$9,условия!$9:$9,"&gt;="&amp;CN$9))</f>
        <v>0</v>
      </c>
      <c r="CO99" s="33">
        <f>IF(условия!$Q$150=0,0,IF(CO33&lt;0,0,CO33/условия!$Q$150)*SUMIFS(условия!$152:$152,условия!$8:$8,"&lt;="&amp;CO$9,условия!$9:$9,"&gt;="&amp;CO$9))</f>
        <v>564.23898690431508</v>
      </c>
      <c r="CP99" s="33">
        <f>IF(условия!$Q$150=0,0,IF(CP33&lt;0,0,CP33/условия!$Q$150)*SUMIFS(условия!$152:$152,условия!$8:$8,"&lt;="&amp;CP$9,условия!$9:$9,"&gt;="&amp;CP$9))</f>
        <v>0</v>
      </c>
      <c r="CQ99" s="33">
        <f>IF(условия!$Q$150=0,0,IF(CQ33&lt;0,0,CQ33/условия!$Q$150)*SUMIFS(условия!$152:$152,условия!$8:$8,"&lt;="&amp;CQ$9,условия!$9:$9,"&gt;="&amp;CQ$9))</f>
        <v>990.0307600499691</v>
      </c>
      <c r="CR99" s="33">
        <f>IF(условия!$Q$150=0,0,IF(CR33&lt;0,0,CR33/условия!$Q$150)*SUMIFS(условия!$152:$152,условия!$8:$8,"&lt;="&amp;CR$9,условия!$9:$9,"&gt;="&amp;CR$9))</f>
        <v>0</v>
      </c>
      <c r="CS99" s="33">
        <f>IF(условия!$Q$150=0,0,IF(CS33&lt;0,0,CS33/условия!$Q$150)*SUMIFS(условия!$152:$152,условия!$8:$8,"&lt;="&amp;CS$9,условия!$9:$9,"&gt;="&amp;CS$9))</f>
        <v>0</v>
      </c>
      <c r="CT99" s="33">
        <f>IF(условия!$Q$150=0,0,IF(CT33&lt;0,0,CT33/условия!$Q$150)*SUMIFS(условия!$152:$152,условия!$8:$8,"&lt;="&amp;CT$9,условия!$9:$9,"&gt;="&amp;CT$9))</f>
        <v>0</v>
      </c>
      <c r="CU99" s="33">
        <f>IF(условия!$Q$150=0,0,IF(CU33&lt;0,0,CU33/условия!$Q$150)*SUMIFS(условия!$152:$152,условия!$8:$8,"&lt;="&amp;CU$9,условия!$9:$9,"&gt;="&amp;CU$9))</f>
        <v>897.13423616110106</v>
      </c>
      <c r="CV99" s="33">
        <f>IF(условия!$Q$150=0,0,IF(CV33&lt;0,0,CV33/условия!$Q$150)*SUMIFS(условия!$152:$152,условия!$8:$8,"&lt;="&amp;CV$9,условия!$9:$9,"&gt;="&amp;CV$9))</f>
        <v>0</v>
      </c>
      <c r="CW99" s="33">
        <f>IF(условия!$Q$150=0,0,IF(CW33&lt;0,0,CW33/условия!$Q$150)*SUMIFS(условия!$152:$152,условия!$8:$8,"&lt;="&amp;CW$9,условия!$9:$9,"&gt;="&amp;CW$9))</f>
        <v>1906.6623197925767</v>
      </c>
      <c r="CX99" s="33">
        <f>IF(условия!$Q$150=0,0,IF(CX33&lt;0,0,CX33/условия!$Q$150)*SUMIFS(условия!$152:$152,условия!$8:$8,"&lt;="&amp;CX$9,условия!$9:$9,"&gt;="&amp;CX$9))</f>
        <v>0</v>
      </c>
      <c r="CY99" s="33">
        <f>IF(условия!$Q$150=0,0,IF(CY33&lt;0,0,CY33/условия!$Q$150)*SUMIFS(условия!$152:$152,условия!$8:$8,"&lt;="&amp;CY$9,условия!$9:$9,"&gt;="&amp;CY$9))</f>
        <v>0</v>
      </c>
      <c r="CZ99" s="33">
        <f>IF(условия!$Q$150=0,0,IF(CZ33&lt;0,0,CZ33/условия!$Q$150)*SUMIFS(условия!$152:$152,условия!$8:$8,"&lt;="&amp;CZ$9,условия!$9:$9,"&gt;="&amp;CZ$9))</f>
        <v>0</v>
      </c>
      <c r="DA99" s="33">
        <f>IF(условия!$Q$150=0,0,IF(DA33&lt;0,0,DA33/условия!$Q$150)*SUMIFS(условия!$152:$152,условия!$8:$8,"&lt;="&amp;DA$9,условия!$9:$9,"&gt;="&amp;DA$9))</f>
        <v>1640.3467663477163</v>
      </c>
      <c r="DB99" s="33">
        <f>IF(условия!$Q$150=0,0,IF(DB33&lt;0,0,DB33/условия!$Q$150)*SUMIFS(условия!$152:$152,условия!$8:$8,"&lt;="&amp;DB$9,условия!$9:$9,"&gt;="&amp;DB$9))</f>
        <v>0</v>
      </c>
      <c r="DC99" s="33">
        <f>IF(условия!$Q$150=0,0,IF(DC33&lt;0,0,DC33/условия!$Q$150)*SUMIFS(условия!$152:$152,условия!$8:$8,"&lt;="&amp;DC$9,условия!$9:$9,"&gt;="&amp;DC$9))</f>
        <v>146.02540651017748</v>
      </c>
      <c r="DD99" s="33">
        <f>IF(условия!$Q$150=0,0,IF(DD33&lt;0,0,DD33/условия!$Q$150)*SUMIFS(условия!$152:$152,условия!$8:$8,"&lt;="&amp;DD$9,условия!$9:$9,"&gt;="&amp;DD$9))</f>
        <v>0</v>
      </c>
      <c r="DE99" s="33">
        <f>IF(условия!$Q$150=0,0,IF(DE33&lt;0,0,DE33/условия!$Q$150)*SUMIFS(условия!$152:$152,условия!$8:$8,"&lt;="&amp;DE$9,условия!$9:$9,"&gt;="&amp;DE$9))</f>
        <v>0</v>
      </c>
      <c r="DF99" s="33">
        <f>IF(условия!$Q$150=0,0,IF(DF33&lt;0,0,DF33/условия!$Q$150)*SUMIFS(условия!$152:$152,условия!$8:$8,"&lt;="&amp;DF$9,условия!$9:$9,"&gt;="&amp;DF$9))</f>
        <v>300.25535761138025</v>
      </c>
      <c r="DG99" s="33">
        <f>IF(условия!$Q$150=0,0,IF(DG33&lt;0,0,DG33/условия!$Q$150)*SUMIFS(условия!$152:$152,условия!$8:$8,"&lt;="&amp;DG$9,условия!$9:$9,"&gt;="&amp;DG$9))</f>
        <v>783.42430051172755</v>
      </c>
      <c r="DH99" s="33">
        <f>IF(условия!$Q$150=0,0,IF(DH33&lt;0,0,DH33/условия!$Q$150)*SUMIFS(условия!$152:$152,условия!$8:$8,"&lt;="&amp;DH$9,условия!$9:$9,"&gt;="&amp;DH$9))</f>
        <v>660.06842532921553</v>
      </c>
      <c r="DI99" s="33">
        <f>IF(условия!$Q$150=0,0,IF(DI33&lt;0,0,DI33/условия!$Q$150)*SUMIFS(условия!$152:$152,условия!$8:$8,"&lt;="&amp;DI$9,условия!$9:$9,"&gt;="&amp;DI$9))</f>
        <v>870.86899112711751</v>
      </c>
      <c r="DJ99" s="33">
        <f>IF(условия!$Q$150=0,0,IF(DJ33&lt;0,0,DJ33/условия!$Q$150)*SUMIFS(условия!$152:$152,условия!$8:$8,"&lt;="&amp;DJ$9,условия!$9:$9,"&gt;="&amp;DJ$9))</f>
        <v>1467.7803135920685</v>
      </c>
      <c r="DK99" s="33">
        <f>IF(условия!$Q$150=0,0,IF(DK33&lt;0,0,DK33/условия!$Q$150)*SUMIFS(условия!$152:$152,условия!$8:$8,"&lt;="&amp;DK$9,условия!$9:$9,"&gt;="&amp;DK$9))</f>
        <v>0</v>
      </c>
      <c r="DL99" s="33">
        <f>IF(условия!$Q$150=0,0,IF(DL33&lt;0,0,DL33/условия!$Q$150)*SUMIFS(условия!$152:$152,условия!$8:$8,"&lt;="&amp;DL$9,условия!$9:$9,"&gt;="&amp;DL$9))</f>
        <v>0</v>
      </c>
      <c r="DM99" s="33">
        <f>IF(условия!$Q$150=0,0,IF(DM33&lt;0,0,DM33/условия!$Q$150)*SUMIFS(условия!$152:$152,условия!$8:$8,"&lt;="&amp;DM$9,условия!$9:$9,"&gt;="&amp;DM$9))</f>
        <v>827.05298115126527</v>
      </c>
      <c r="DN99" s="33">
        <f>IF(условия!$Q$150=0,0,IF(DN33&lt;0,0,DN33/условия!$Q$150)*SUMIFS(условия!$152:$152,условия!$8:$8,"&lt;="&amp;DN$9,условия!$9:$9,"&gt;="&amp;DN$9))</f>
        <v>0</v>
      </c>
      <c r="DO99" s="33">
        <f>IF(условия!$Q$150=0,0,IF(DO33&lt;0,0,DO33/условия!$Q$150)*SUMIFS(условия!$152:$152,условия!$8:$8,"&lt;="&amp;DO$9,условия!$9:$9,"&gt;="&amp;DO$9))</f>
        <v>1130.6386086965431</v>
      </c>
      <c r="DP99" s="33">
        <f>IF(условия!$Q$150=0,0,IF(DP33&lt;0,0,DP33/условия!$Q$150)*SUMIFS(условия!$152:$152,условия!$8:$8,"&lt;="&amp;DP$9,условия!$9:$9,"&gt;="&amp;DP$9))</f>
        <v>0</v>
      </c>
      <c r="DQ99" s="33">
        <f>IF(условия!$Q$150=0,0,IF(DQ33&lt;0,0,DQ33/условия!$Q$150)*SUMIFS(условия!$152:$152,условия!$8:$8,"&lt;="&amp;DQ$9,условия!$9:$9,"&gt;="&amp;DQ$9))</f>
        <v>0</v>
      </c>
      <c r="DR99" s="33">
        <f>IF(условия!$Q$150=0,0,IF(DR33&lt;0,0,DR33/условия!$Q$150)*SUMIFS(условия!$152:$152,условия!$8:$8,"&lt;="&amp;DR$9,условия!$9:$9,"&gt;="&amp;DR$9))</f>
        <v>0</v>
      </c>
      <c r="DS99" s="33">
        <f>IF(условия!$Q$150=0,0,IF(DS33&lt;0,0,DS33/условия!$Q$150)*SUMIFS(условия!$152:$152,условия!$8:$8,"&lt;="&amp;DS$9,условия!$9:$9,"&gt;="&amp;DS$9))</f>
        <v>1353.6514343519727</v>
      </c>
      <c r="DT99" s="33">
        <f>IF(условия!$Q$150=0,0,IF(DT33&lt;0,0,DT33/условия!$Q$150)*SUMIFS(условия!$152:$152,условия!$8:$8,"&lt;="&amp;DT$9,условия!$9:$9,"&gt;="&amp;DT$9))</f>
        <v>0</v>
      </c>
      <c r="DU99" s="33">
        <f>IF(условия!$Q$150=0,0,IF(DU33&lt;0,0,DU33/условия!$Q$150)*SUMIFS(условия!$152:$152,условия!$8:$8,"&lt;="&amp;DU$9,условия!$9:$9,"&gt;="&amp;DU$9))</f>
        <v>1928.8446869689501</v>
      </c>
      <c r="DV99" s="33">
        <f>IF(условия!$Q$150=0,0,IF(DV33&lt;0,0,DV33/условия!$Q$150)*SUMIFS(условия!$152:$152,условия!$8:$8,"&lt;="&amp;DV$9,условия!$9:$9,"&gt;="&amp;DV$9))</f>
        <v>0</v>
      </c>
      <c r="DW99" s="33">
        <f>IF(условия!$Q$150=0,0,IF(DW33&lt;0,0,DW33/условия!$Q$150)*SUMIFS(условия!$152:$152,условия!$8:$8,"&lt;="&amp;DW$9,условия!$9:$9,"&gt;="&amp;DW$9))</f>
        <v>706.67827310313714</v>
      </c>
      <c r="DX99" s="33">
        <f>IF(условия!$Q$150=0,0,IF(DX33&lt;0,0,DX33/условия!$Q$150)*SUMIFS(условия!$152:$152,условия!$8:$8,"&lt;="&amp;DX$9,условия!$9:$9,"&gt;="&amp;DX$9))</f>
        <v>0</v>
      </c>
      <c r="DY99" s="33">
        <f>IF(условия!$Q$150=0,0,IF(DY33&lt;0,0,DY33/условия!$Q$150)*SUMIFS(условия!$152:$152,условия!$8:$8,"&lt;="&amp;DY$9,условия!$9:$9,"&gt;="&amp;DY$9))</f>
        <v>1662.5967372822358</v>
      </c>
      <c r="DZ99" s="33">
        <f>IF(условия!$Q$150=0,0,IF(DZ33&lt;0,0,DZ33/условия!$Q$150)*SUMIFS(условия!$152:$152,условия!$8:$8,"&lt;="&amp;DZ$9,условия!$9:$9,"&gt;="&amp;DZ$9))</f>
        <v>0</v>
      </c>
      <c r="EA99" s="33">
        <f>IF(условия!$Q$150=0,0,IF(EA33&lt;0,0,EA33/условия!$Q$150)*SUMIFS(условия!$152:$152,условия!$8:$8,"&lt;="&amp;EA$9,условия!$9:$9,"&gt;="&amp;EA$9))</f>
        <v>279.45607338210368</v>
      </c>
      <c r="EB99" s="33">
        <f>IF(условия!$Q$150=0,0,IF(EB33&lt;0,0,EB33/условия!$Q$150)*SUMIFS(условия!$152:$152,условия!$8:$8,"&lt;="&amp;EB$9,условия!$9:$9,"&gt;="&amp;EB$9))</f>
        <v>0</v>
      </c>
      <c r="EC99" s="33">
        <f>IF(условия!$Q$150=0,0,IF(EC33&lt;0,0,EC33/условия!$Q$150)*SUMIFS(условия!$152:$152,условия!$8:$8,"&lt;="&amp;EC$9,условия!$9:$9,"&gt;="&amp;EC$9))</f>
        <v>0</v>
      </c>
      <c r="ED99" s="33">
        <f>IF(условия!$Q$150=0,0,IF(ED33&lt;0,0,ED33/условия!$Q$150)*SUMIFS(условия!$152:$152,условия!$8:$8,"&lt;="&amp;ED$9,условия!$9:$9,"&gt;="&amp;ED$9))</f>
        <v>215.24530203665796</v>
      </c>
      <c r="EE99" s="33">
        <f>IF(условия!$Q$150=0,0,IF(EE33&lt;0,0,EE33/условия!$Q$150)*SUMIFS(условия!$152:$152,условия!$8:$8,"&lt;="&amp;EE$9,условия!$9:$9,"&gt;="&amp;EE$9))</f>
        <v>829.05066602413297</v>
      </c>
      <c r="EF99" s="33">
        <f>IF(условия!$Q$150=0,0,IF(EF33&lt;0,0,EF33/условия!$Q$150)*SUMIFS(условия!$152:$152,условия!$8:$8,"&lt;="&amp;EF$9,условия!$9:$9,"&gt;="&amp;EF$9))</f>
        <v>946.1841083035913</v>
      </c>
      <c r="EG99" s="33">
        <f>IF(условия!$Q$150=0,0,IF(EG33&lt;0,0,EG33/условия!$Q$150)*SUMIFS(условия!$152:$152,условия!$8:$8,"&lt;="&amp;EG$9,условия!$9:$9,"&gt;="&amp;EG$9))</f>
        <v>593.90219990281662</v>
      </c>
      <c r="EH99" s="33">
        <f>IF(условия!$Q$150=0,0,IF(EH33&lt;0,0,EH33/условия!$Q$150)*SUMIFS(условия!$152:$152,условия!$8:$8,"&lt;="&amp;EH$9,условия!$9:$9,"&gt;="&amp;EH$9))</f>
        <v>2179.0804912181602</v>
      </c>
      <c r="EI99" s="33">
        <f>IF(условия!$Q$150=0,0,IF(EI33&lt;0,0,EI33/условия!$Q$150)*SUMIFS(условия!$152:$152,условия!$8:$8,"&lt;="&amp;EI$9,условия!$9:$9,"&gt;="&amp;EI$9))</f>
        <v>0</v>
      </c>
      <c r="EJ99" s="3"/>
      <c r="EK99" s="3"/>
    </row>
    <row r="100" spans="1:14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</row>
    <row r="101" spans="1:141" x14ac:dyDescent="0.25">
      <c r="A101" s="3"/>
      <c r="B101" s="3"/>
      <c r="C101" s="3"/>
      <c r="D101" s="3"/>
      <c r="E101" s="3"/>
      <c r="F101" s="10" t="str">
        <f>KPI!$F$101</f>
        <v>постоянный ФОТ персонала склада ГП</v>
      </c>
      <c r="G101" s="3"/>
      <c r="H101" s="3"/>
      <c r="I101" s="3"/>
      <c r="J101" s="5" t="str">
        <f>IF($F101="","",INDEX(KPI!$I$11:$I$275,SUMIFS(KPI!$E$11:$E$275,KPI!$F$11:$F$275,$F101)))</f>
        <v>тыс.руб.</v>
      </c>
      <c r="K101" s="3"/>
      <c r="L101" s="3"/>
      <c r="M101" s="3"/>
      <c r="N101" s="3"/>
      <c r="O101" s="3"/>
      <c r="P101" s="3"/>
      <c r="Q101" s="12">
        <f>SUM(S101:EJ101)</f>
        <v>35530.118850244806</v>
      </c>
      <c r="R101" s="3"/>
      <c r="S101" s="55"/>
      <c r="T101" s="33">
        <f>S101+IF(T1=$Q$53,условия!$Q$154*SUMIFS(условия!$156:$156,условия!$8:$8,"&lt;="&amp;T$9,условия!$9:$9,"&gt;="&amp;T$9),0)+T51*условия!$Q$154*SUMIFS(условия!$156:$156,условия!$8:$8,"&lt;="&amp;T$9,условия!$9:$9,"&gt;="&amp;T$9)</f>
        <v>0</v>
      </c>
      <c r="U101" s="33">
        <f>T101+IF(U1=$Q$53,условия!$Q$154*SUMIFS(условия!$156:$156,условия!$8:$8,"&lt;="&amp;U$9,условия!$9:$9,"&gt;="&amp;U$9),0)+U51*условия!$Q$154*SUMIFS(условия!$156:$156,условия!$8:$8,"&lt;="&amp;U$9,условия!$9:$9,"&gt;="&amp;U$9)</f>
        <v>0</v>
      </c>
      <c r="V101" s="33">
        <f>U101+IF(V1=$Q$53,условия!$Q$154*SUMIFS(условия!$156:$156,условия!$8:$8,"&lt;="&amp;V$9,условия!$9:$9,"&gt;="&amp;V$9),0)+V51*условия!$Q$154*SUMIFS(условия!$156:$156,условия!$8:$8,"&lt;="&amp;V$9,условия!$9:$9,"&gt;="&amp;V$9)</f>
        <v>0</v>
      </c>
      <c r="W101" s="33">
        <f>V101+IF(W1=$Q$53,условия!$Q$154*SUMIFS(условия!$156:$156,условия!$8:$8,"&lt;="&amp;W$9,условия!$9:$9,"&gt;="&amp;W$9),0)+W51*условия!$Q$154*SUMIFS(условия!$156:$156,условия!$8:$8,"&lt;="&amp;W$9,условия!$9:$9,"&gt;="&amp;W$9)</f>
        <v>0</v>
      </c>
      <c r="X101" s="33">
        <f>W101+IF(X1=$Q$53,условия!$Q$154*SUMIFS(условия!$156:$156,условия!$8:$8,"&lt;="&amp;X$9,условия!$9:$9,"&gt;="&amp;X$9),0)+X51*условия!$Q$154*SUMIFS(условия!$156:$156,условия!$8:$8,"&lt;="&amp;X$9,условия!$9:$9,"&gt;="&amp;X$9)</f>
        <v>150</v>
      </c>
      <c r="Y101" s="33">
        <f>X101+IF(Y1=$Q$53,условия!$Q$154*SUMIFS(условия!$156:$156,условия!$8:$8,"&lt;="&amp;Y$9,условия!$9:$9,"&gt;="&amp;Y$9),0)+Y51*условия!$Q$154*SUMIFS(условия!$156:$156,условия!$8:$8,"&lt;="&amp;Y$9,условия!$9:$9,"&gt;="&amp;Y$9)</f>
        <v>150</v>
      </c>
      <c r="Z101" s="33">
        <f>Y101+IF(Z1=$Q$53,условия!$Q$154*SUMIFS(условия!$156:$156,условия!$8:$8,"&lt;="&amp;Z$9,условия!$9:$9,"&gt;="&amp;Z$9),0)+Z51*условия!$Q$154*SUMIFS(условия!$156:$156,условия!$8:$8,"&lt;="&amp;Z$9,условия!$9:$9,"&gt;="&amp;Z$9)</f>
        <v>150</v>
      </c>
      <c r="AA101" s="33">
        <f>Z101+IF(AA1=$Q$53,условия!$Q$154*SUMIFS(условия!$156:$156,условия!$8:$8,"&lt;="&amp;AA$9,условия!$9:$9,"&gt;="&amp;AA$9),0)+AA51*условия!$Q$154*SUMIFS(условия!$156:$156,условия!$8:$8,"&lt;="&amp;AA$9,условия!$9:$9,"&gt;="&amp;AA$9)</f>
        <v>150</v>
      </c>
      <c r="AB101" s="33">
        <f>AA101+IF(AB1=$Q$53,условия!$Q$154*SUMIFS(условия!$156:$156,условия!$8:$8,"&lt;="&amp;AB$9,условия!$9:$9,"&gt;="&amp;AB$9),0)+AB51*условия!$Q$154*SUMIFS(условия!$156:$156,условия!$8:$8,"&lt;="&amp;AB$9,условия!$9:$9,"&gt;="&amp;AB$9)</f>
        <v>150</v>
      </c>
      <c r="AC101" s="33">
        <f>AB101+IF(AC1=$Q$53,условия!$Q$154*SUMIFS(условия!$156:$156,условия!$8:$8,"&lt;="&amp;AC$9,условия!$9:$9,"&gt;="&amp;AC$9),0)+AC51*условия!$Q$154*SUMIFS(условия!$156:$156,условия!$8:$8,"&lt;="&amp;AC$9,условия!$9:$9,"&gt;="&amp;AC$9)</f>
        <v>150</v>
      </c>
      <c r="AD101" s="33">
        <f>AC101+IF(AD1=$Q$53,условия!$Q$154*SUMIFS(условия!$156:$156,условия!$8:$8,"&lt;="&amp;AD$9,условия!$9:$9,"&gt;="&amp;AD$9),0)+AD51*условия!$Q$154*SUMIFS(условия!$156:$156,условия!$8:$8,"&lt;="&amp;AD$9,условия!$9:$9,"&gt;="&amp;AD$9)</f>
        <v>150</v>
      </c>
      <c r="AE101" s="33">
        <f>AD101+IF(AE1=$Q$53,условия!$Q$154*SUMIFS(условия!$156:$156,условия!$8:$8,"&lt;="&amp;AE$9,условия!$9:$9,"&gt;="&amp;AE$9),0)+AE51*условия!$Q$154*SUMIFS(условия!$156:$156,условия!$8:$8,"&lt;="&amp;AE$9,условия!$9:$9,"&gt;="&amp;AE$9)</f>
        <v>150</v>
      </c>
      <c r="AF101" s="33">
        <f>AE101+IF(AF1=$Q$53,условия!$Q$154*SUMIFS(условия!$156:$156,условия!$8:$8,"&lt;="&amp;AF$9,условия!$9:$9,"&gt;="&amp;AF$9),0)+AF51*условия!$Q$154*SUMIFS(условия!$156:$156,условия!$8:$8,"&lt;="&amp;AF$9,условия!$9:$9,"&gt;="&amp;AF$9)</f>
        <v>150</v>
      </c>
      <c r="AG101" s="33">
        <f>AF101+IF(AG1=$Q$53,условия!$Q$154*SUMIFS(условия!$156:$156,условия!$8:$8,"&lt;="&amp;AG$9,условия!$9:$9,"&gt;="&amp;AG$9),0)+AG51*условия!$Q$154*SUMIFS(условия!$156:$156,условия!$8:$8,"&lt;="&amp;AG$9,условия!$9:$9,"&gt;="&amp;AG$9)</f>
        <v>150</v>
      </c>
      <c r="AH101" s="33">
        <f>AG101+IF(AH1=$Q$53,условия!$Q$154*SUMIFS(условия!$156:$156,условия!$8:$8,"&lt;="&amp;AH$9,условия!$9:$9,"&gt;="&amp;AH$9),0)+AH51*условия!$Q$154*SUMIFS(условия!$156:$156,условия!$8:$8,"&lt;="&amp;AH$9,условия!$9:$9,"&gt;="&amp;AH$9)</f>
        <v>150</v>
      </c>
      <c r="AI101" s="33">
        <f>AH101+IF(AI1=$Q$53,условия!$Q$154*SUMIFS(условия!$156:$156,условия!$8:$8,"&lt;="&amp;AI$9,условия!$9:$9,"&gt;="&amp;AI$9),0)+AI51*условия!$Q$154*SUMIFS(условия!$156:$156,условия!$8:$8,"&lt;="&amp;AI$9,условия!$9:$9,"&gt;="&amp;AI$9)</f>
        <v>150</v>
      </c>
      <c r="AJ101" s="33">
        <f>AI101+IF(AJ1=$Q$53,условия!$Q$154*SUMIFS(условия!$156:$156,условия!$8:$8,"&lt;="&amp;AJ$9,условия!$9:$9,"&gt;="&amp;AJ$9),0)+AJ51*условия!$Q$154*SUMIFS(условия!$156:$156,условия!$8:$8,"&lt;="&amp;AJ$9,условия!$9:$9,"&gt;="&amp;AJ$9)</f>
        <v>150</v>
      </c>
      <c r="AK101" s="33">
        <f>AJ101+IF(AK1=$Q$53,условия!$Q$154*SUMIFS(условия!$156:$156,условия!$8:$8,"&lt;="&amp;AK$9,условия!$9:$9,"&gt;="&amp;AK$9),0)+AK51*условия!$Q$154*SUMIFS(условия!$156:$156,условия!$8:$8,"&lt;="&amp;AK$9,условия!$9:$9,"&gt;="&amp;AK$9)</f>
        <v>150</v>
      </c>
      <c r="AL101" s="33">
        <f>AK101+IF(AL1=$Q$53,условия!$Q$154*SUMIFS(условия!$156:$156,условия!$8:$8,"&lt;="&amp;AL$9,условия!$9:$9,"&gt;="&amp;AL$9),0)+AL51*условия!$Q$154*SUMIFS(условия!$156:$156,условия!$8:$8,"&lt;="&amp;AL$9,условия!$9:$9,"&gt;="&amp;AL$9)</f>
        <v>150</v>
      </c>
      <c r="AM101" s="33">
        <f>AL101+IF(AM1=$Q$53,условия!$Q$154*SUMIFS(условия!$156:$156,условия!$8:$8,"&lt;="&amp;AM$9,условия!$9:$9,"&gt;="&amp;AM$9),0)+AM51*условия!$Q$154*SUMIFS(условия!$156:$156,условия!$8:$8,"&lt;="&amp;AM$9,условия!$9:$9,"&gt;="&amp;AM$9)</f>
        <v>150</v>
      </c>
      <c r="AN101" s="33">
        <f>AM101+IF(AN1=$Q$53,условия!$Q$154*SUMIFS(условия!$156:$156,условия!$8:$8,"&lt;="&amp;AN$9,условия!$9:$9,"&gt;="&amp;AN$9),0)+AN51*условия!$Q$154*SUMIFS(условия!$156:$156,условия!$8:$8,"&lt;="&amp;AN$9,условия!$9:$9,"&gt;="&amp;AN$9)</f>
        <v>150</v>
      </c>
      <c r="AO101" s="33">
        <f>AN101+IF(AO1=$Q$53,условия!$Q$154*SUMIFS(условия!$156:$156,условия!$8:$8,"&lt;="&amp;AO$9,условия!$9:$9,"&gt;="&amp;AO$9),0)+AO51*условия!$Q$154*SUMIFS(условия!$156:$156,условия!$8:$8,"&lt;="&amp;AO$9,условия!$9:$9,"&gt;="&amp;AO$9)</f>
        <v>150</v>
      </c>
      <c r="AP101" s="33">
        <f>AO101+IF(AP1=$Q$53,условия!$Q$154*SUMIFS(условия!$156:$156,условия!$8:$8,"&lt;="&amp;AP$9,условия!$9:$9,"&gt;="&amp;AP$9),0)+AP51*условия!$Q$154*SUMIFS(условия!$156:$156,условия!$8:$8,"&lt;="&amp;AP$9,условия!$9:$9,"&gt;="&amp;AP$9)</f>
        <v>150</v>
      </c>
      <c r="AQ101" s="33">
        <f>AP101+IF(AQ1=$Q$53,условия!$Q$154*SUMIFS(условия!$156:$156,условия!$8:$8,"&lt;="&amp;AQ$9,условия!$9:$9,"&gt;="&amp;AQ$9),0)+AQ51*условия!$Q$154*SUMIFS(условия!$156:$156,условия!$8:$8,"&lt;="&amp;AQ$9,условия!$9:$9,"&gt;="&amp;AQ$9)</f>
        <v>150</v>
      </c>
      <c r="AR101" s="33">
        <f>AQ101+IF(AR1=$Q$53,условия!$Q$154*SUMIFS(условия!$156:$156,условия!$8:$8,"&lt;="&amp;AR$9,условия!$9:$9,"&gt;="&amp;AR$9),0)+AR51*условия!$Q$154*SUMIFS(условия!$156:$156,условия!$8:$8,"&lt;="&amp;AR$9,условия!$9:$9,"&gt;="&amp;AR$9)</f>
        <v>150</v>
      </c>
      <c r="AS101" s="33">
        <f>AR101+IF(AS1=$Q$53,условия!$Q$154*SUMIFS(условия!$156:$156,условия!$8:$8,"&lt;="&amp;AS$9,условия!$9:$9,"&gt;="&amp;AS$9),0)+AS51*условия!$Q$154*SUMIFS(условия!$156:$156,условия!$8:$8,"&lt;="&amp;AS$9,условия!$9:$9,"&gt;="&amp;AS$9)</f>
        <v>150</v>
      </c>
      <c r="AT101" s="33">
        <f>AS101+IF(AT1=$Q$53,условия!$Q$154*SUMIFS(условия!$156:$156,условия!$8:$8,"&lt;="&amp;AT$9,условия!$9:$9,"&gt;="&amp;AT$9),0)+AT51*условия!$Q$154*SUMIFS(условия!$156:$156,условия!$8:$8,"&lt;="&amp;AT$9,условия!$9:$9,"&gt;="&amp;AT$9)</f>
        <v>150</v>
      </c>
      <c r="AU101" s="33">
        <f>AT101+IF(AU1=$Q$53,условия!$Q$154*SUMIFS(условия!$156:$156,условия!$8:$8,"&lt;="&amp;AU$9,условия!$9:$9,"&gt;="&amp;AU$9),0)+AU51*условия!$Q$154*SUMIFS(условия!$156:$156,условия!$8:$8,"&lt;="&amp;AU$9,условия!$9:$9,"&gt;="&amp;AU$9)</f>
        <v>150</v>
      </c>
      <c r="AV101" s="33">
        <f>AU101+IF(AV1=$Q$53,условия!$Q$154*SUMIFS(условия!$156:$156,условия!$8:$8,"&lt;="&amp;AV$9,условия!$9:$9,"&gt;="&amp;AV$9),0)+AV51*условия!$Q$154*SUMIFS(условия!$156:$156,условия!$8:$8,"&lt;="&amp;AV$9,условия!$9:$9,"&gt;="&amp;AV$9)</f>
        <v>150</v>
      </c>
      <c r="AW101" s="33">
        <f>AV101+IF(AW1=$Q$53,условия!$Q$154*SUMIFS(условия!$156:$156,условия!$8:$8,"&lt;="&amp;AW$9,условия!$9:$9,"&gt;="&amp;AW$9),0)+AW51*условия!$Q$154*SUMIFS(условия!$156:$156,условия!$8:$8,"&lt;="&amp;AW$9,условия!$9:$9,"&gt;="&amp;AW$9)</f>
        <v>150</v>
      </c>
      <c r="AX101" s="33">
        <f>AW101+IF(AX1=$Q$53,условия!$Q$154*SUMIFS(условия!$156:$156,условия!$8:$8,"&lt;="&amp;AX$9,условия!$9:$9,"&gt;="&amp;AX$9),0)+AX51*условия!$Q$154*SUMIFS(условия!$156:$156,условия!$8:$8,"&lt;="&amp;AX$9,условия!$9:$9,"&gt;="&amp;AX$9)</f>
        <v>150</v>
      </c>
      <c r="AY101" s="33">
        <f>AX101+IF(AY1=$Q$53,условия!$Q$154*SUMIFS(условия!$156:$156,условия!$8:$8,"&lt;="&amp;AY$9,условия!$9:$9,"&gt;="&amp;AY$9),0)+AY51*условия!$Q$154*SUMIFS(условия!$156:$156,условия!$8:$8,"&lt;="&amp;AY$9,условия!$9:$9,"&gt;="&amp;AY$9)</f>
        <v>150</v>
      </c>
      <c r="AZ101" s="33">
        <f>AY101+IF(AZ1=$Q$53,условия!$Q$154*SUMIFS(условия!$156:$156,условия!$8:$8,"&lt;="&amp;AZ$9,условия!$9:$9,"&gt;="&amp;AZ$9),0)+AZ51*условия!$Q$154*SUMIFS(условия!$156:$156,условия!$8:$8,"&lt;="&amp;AZ$9,условия!$9:$9,"&gt;="&amp;AZ$9)</f>
        <v>150</v>
      </c>
      <c r="BA101" s="33">
        <f>AZ101+IF(BA1=$Q$53,условия!$Q$154*SUMIFS(условия!$156:$156,условия!$8:$8,"&lt;="&amp;BA$9,условия!$9:$9,"&gt;="&amp;BA$9),0)+BA51*условия!$Q$154*SUMIFS(условия!$156:$156,условия!$8:$8,"&lt;="&amp;BA$9,условия!$9:$9,"&gt;="&amp;BA$9)</f>
        <v>150</v>
      </c>
      <c r="BB101" s="33">
        <f>BA101+IF(BB1=$Q$53,условия!$Q$154*SUMIFS(условия!$156:$156,условия!$8:$8,"&lt;="&amp;BB$9,условия!$9:$9,"&gt;="&amp;BB$9),0)+BB51*условия!$Q$154*SUMIFS(условия!$156:$156,условия!$8:$8,"&lt;="&amp;BB$9,условия!$9:$9,"&gt;="&amp;BB$9)</f>
        <v>150</v>
      </c>
      <c r="BC101" s="33">
        <f>BB101+IF(BC1=$Q$53,условия!$Q$154*SUMIFS(условия!$156:$156,условия!$8:$8,"&lt;="&amp;BC$9,условия!$9:$9,"&gt;="&amp;BC$9),0)+BC51*условия!$Q$154*SUMIFS(условия!$156:$156,условия!$8:$8,"&lt;="&amp;BC$9,условия!$9:$9,"&gt;="&amp;BC$9)</f>
        <v>150</v>
      </c>
      <c r="BD101" s="33">
        <f>BC101+IF(BD1=$Q$53,условия!$Q$154*SUMIFS(условия!$156:$156,условия!$8:$8,"&lt;="&amp;BD$9,условия!$9:$9,"&gt;="&amp;BD$9),0)+BD51*условия!$Q$154*SUMIFS(условия!$156:$156,условия!$8:$8,"&lt;="&amp;BD$9,условия!$9:$9,"&gt;="&amp;BD$9)</f>
        <v>150</v>
      </c>
      <c r="BE101" s="33">
        <f>BD101+IF(BE1=$Q$53,условия!$Q$154*SUMIFS(условия!$156:$156,условия!$8:$8,"&lt;="&amp;BE$9,условия!$9:$9,"&gt;="&amp;BE$9),0)+BE51*условия!$Q$154*SUMIFS(условия!$156:$156,условия!$8:$8,"&lt;="&amp;BE$9,условия!$9:$9,"&gt;="&amp;BE$9)</f>
        <v>150</v>
      </c>
      <c r="BF101" s="33">
        <f>BE101+IF(BF1=$Q$53,условия!$Q$154*SUMIFS(условия!$156:$156,условия!$8:$8,"&lt;="&amp;BF$9,условия!$9:$9,"&gt;="&amp;BF$9),0)+BF51*условия!$Q$154*SUMIFS(условия!$156:$156,условия!$8:$8,"&lt;="&amp;BF$9,условия!$9:$9,"&gt;="&amp;BF$9)</f>
        <v>150</v>
      </c>
      <c r="BG101" s="33">
        <f>BF101+IF(BG1=$Q$53,условия!$Q$154*SUMIFS(условия!$156:$156,условия!$8:$8,"&lt;="&amp;BG$9,условия!$9:$9,"&gt;="&amp;BG$9),0)+BG51*условия!$Q$154*SUMIFS(условия!$156:$156,условия!$8:$8,"&lt;="&amp;BG$9,условия!$9:$9,"&gt;="&amp;BG$9)</f>
        <v>150</v>
      </c>
      <c r="BH101" s="33">
        <f>BG101+IF(BH1=$Q$53,условия!$Q$154*SUMIFS(условия!$156:$156,условия!$8:$8,"&lt;="&amp;BH$9,условия!$9:$9,"&gt;="&amp;BH$9),0)+BH51*условия!$Q$154*SUMIFS(условия!$156:$156,условия!$8:$8,"&lt;="&amp;BH$9,условия!$9:$9,"&gt;="&amp;BH$9)</f>
        <v>150</v>
      </c>
      <c r="BI101" s="33">
        <f>BH101+IF(BI1=$Q$53,условия!$Q$154*SUMIFS(условия!$156:$156,условия!$8:$8,"&lt;="&amp;BI$9,условия!$9:$9,"&gt;="&amp;BI$9),0)+BI51*условия!$Q$154*SUMIFS(условия!$156:$156,условия!$8:$8,"&lt;="&amp;BI$9,условия!$9:$9,"&gt;="&amp;BI$9)</f>
        <v>150</v>
      </c>
      <c r="BJ101" s="33">
        <f>BI101+IF(BJ1=$Q$53,условия!$Q$154*SUMIFS(условия!$156:$156,условия!$8:$8,"&lt;="&amp;BJ$9,условия!$9:$9,"&gt;="&amp;BJ$9),0)+BJ51*условия!$Q$154*SUMIFS(условия!$156:$156,условия!$8:$8,"&lt;="&amp;BJ$9,условия!$9:$9,"&gt;="&amp;BJ$9)</f>
        <v>150</v>
      </c>
      <c r="BK101" s="33">
        <f>BJ101+IF(BK1=$Q$53,условия!$Q$154*SUMIFS(условия!$156:$156,условия!$8:$8,"&lt;="&amp;BK$9,условия!$9:$9,"&gt;="&amp;BK$9),0)+BK51*условия!$Q$154*SUMIFS(условия!$156:$156,условия!$8:$8,"&lt;="&amp;BK$9,условия!$9:$9,"&gt;="&amp;BK$9)</f>
        <v>150</v>
      </c>
      <c r="BL101" s="33">
        <f>BK101+IF(BL1=$Q$53,условия!$Q$154*SUMIFS(условия!$156:$156,условия!$8:$8,"&lt;="&amp;BL$9,условия!$9:$9,"&gt;="&amp;BL$9),0)+BL51*условия!$Q$154*SUMIFS(условия!$156:$156,условия!$8:$8,"&lt;="&amp;BL$9,условия!$9:$9,"&gt;="&amp;BL$9)</f>
        <v>150</v>
      </c>
      <c r="BM101" s="33">
        <f>BL101+IF(BM1=$Q$53,условия!$Q$154*SUMIFS(условия!$156:$156,условия!$8:$8,"&lt;="&amp;BM$9,условия!$9:$9,"&gt;="&amp;BM$9),0)+BM51*условия!$Q$154*SUMIFS(условия!$156:$156,условия!$8:$8,"&lt;="&amp;BM$9,условия!$9:$9,"&gt;="&amp;BM$9)</f>
        <v>150</v>
      </c>
      <c r="BN101" s="33">
        <f>BM101+IF(BN1=$Q$53,условия!$Q$154*SUMIFS(условия!$156:$156,условия!$8:$8,"&lt;="&amp;BN$9,условия!$9:$9,"&gt;="&amp;BN$9),0)+BN51*условия!$Q$154*SUMIFS(условия!$156:$156,условия!$8:$8,"&lt;="&amp;BN$9,условия!$9:$9,"&gt;="&amp;BN$9)</f>
        <v>150</v>
      </c>
      <c r="BO101" s="33">
        <f>BN101+IF(BO1=$Q$53,условия!$Q$154*SUMIFS(условия!$156:$156,условия!$8:$8,"&lt;="&amp;BO$9,условия!$9:$9,"&gt;="&amp;BO$9),0)+BO51*условия!$Q$154*SUMIFS(условия!$156:$156,условия!$8:$8,"&lt;="&amp;BO$9,условия!$9:$9,"&gt;="&amp;BO$9)</f>
        <v>150</v>
      </c>
      <c r="BP101" s="33">
        <f>BO101+IF(BP1=$Q$53,условия!$Q$154*SUMIFS(условия!$156:$156,условия!$8:$8,"&lt;="&amp;BP$9,условия!$9:$9,"&gt;="&amp;BP$9),0)+BP51*условия!$Q$154*SUMIFS(условия!$156:$156,условия!$8:$8,"&lt;="&amp;BP$9,условия!$9:$9,"&gt;="&amp;BP$9)</f>
        <v>150</v>
      </c>
      <c r="BQ101" s="33">
        <f>BP101+IF(BQ1=$Q$53,условия!$Q$154*SUMIFS(условия!$156:$156,условия!$8:$8,"&lt;="&amp;BQ$9,условия!$9:$9,"&gt;="&amp;BQ$9),0)+BQ51*условия!$Q$154*SUMIFS(условия!$156:$156,условия!$8:$8,"&lt;="&amp;BQ$9,условия!$9:$9,"&gt;="&amp;BQ$9)</f>
        <v>150</v>
      </c>
      <c r="BR101" s="33">
        <f>BQ101+IF(BR1=$Q$53,условия!$Q$154*SUMIFS(условия!$156:$156,условия!$8:$8,"&lt;="&amp;BR$9,условия!$9:$9,"&gt;="&amp;BR$9),0)+BR51*условия!$Q$154*SUMIFS(условия!$156:$156,условия!$8:$8,"&lt;="&amp;BR$9,условия!$9:$9,"&gt;="&amp;BR$9)</f>
        <v>150</v>
      </c>
      <c r="BS101" s="33">
        <f>BR101+IF(BS1=$Q$53,условия!$Q$154*SUMIFS(условия!$156:$156,условия!$8:$8,"&lt;="&amp;BS$9,условия!$9:$9,"&gt;="&amp;BS$9),0)+BS51*условия!$Q$154*SUMIFS(условия!$156:$156,условия!$8:$8,"&lt;="&amp;BS$9,условия!$9:$9,"&gt;="&amp;BS$9)</f>
        <v>150</v>
      </c>
      <c r="BT101" s="33">
        <f>BS101+IF(BT1=$Q$53,условия!$Q$154*SUMIFS(условия!$156:$156,условия!$8:$8,"&lt;="&amp;BT$9,условия!$9:$9,"&gt;="&amp;BT$9),0)+BT51*условия!$Q$154*SUMIFS(условия!$156:$156,условия!$8:$8,"&lt;="&amp;BT$9,условия!$9:$9,"&gt;="&amp;BT$9)</f>
        <v>150</v>
      </c>
      <c r="BU101" s="33">
        <f>BT101+IF(BU1=$Q$53,условия!$Q$154*SUMIFS(условия!$156:$156,условия!$8:$8,"&lt;="&amp;BU$9,условия!$9:$9,"&gt;="&amp;BU$9),0)+BU51*условия!$Q$154*SUMIFS(условия!$156:$156,условия!$8:$8,"&lt;="&amp;BU$9,условия!$9:$9,"&gt;="&amp;BU$9)</f>
        <v>150</v>
      </c>
      <c r="BV101" s="33">
        <f>BU101+IF(BV1=$Q$53,условия!$Q$154*SUMIFS(условия!$156:$156,условия!$8:$8,"&lt;="&amp;BV$9,условия!$9:$9,"&gt;="&amp;BV$9),0)+BV51*условия!$Q$154*SUMIFS(условия!$156:$156,условия!$8:$8,"&lt;="&amp;BV$9,условия!$9:$9,"&gt;="&amp;BV$9)</f>
        <v>150</v>
      </c>
      <c r="BW101" s="33">
        <f>BV101+IF(BW1=$Q$53,условия!$Q$154*SUMIFS(условия!$156:$156,условия!$8:$8,"&lt;="&amp;BW$9,условия!$9:$9,"&gt;="&amp;BW$9),0)+BW51*условия!$Q$154*SUMIFS(условия!$156:$156,условия!$8:$8,"&lt;="&amp;BW$9,условия!$9:$9,"&gt;="&amp;BW$9)</f>
        <v>150</v>
      </c>
      <c r="BX101" s="33">
        <f>BW101+IF(BX1=$Q$53,условия!$Q$154*SUMIFS(условия!$156:$156,условия!$8:$8,"&lt;="&amp;BX$9,условия!$9:$9,"&gt;="&amp;BX$9),0)+BX51*условия!$Q$154*SUMIFS(условия!$156:$156,условия!$8:$8,"&lt;="&amp;BX$9,условия!$9:$9,"&gt;="&amp;BX$9)</f>
        <v>150</v>
      </c>
      <c r="BY101" s="33">
        <f>BX101+IF(BY1=$Q$53,условия!$Q$154*SUMIFS(условия!$156:$156,условия!$8:$8,"&lt;="&amp;BY$9,условия!$9:$9,"&gt;="&amp;BY$9),0)+BY51*условия!$Q$154*SUMIFS(условия!$156:$156,условия!$8:$8,"&lt;="&amp;BY$9,условия!$9:$9,"&gt;="&amp;BY$9)</f>
        <v>344.74749000000003</v>
      </c>
      <c r="BZ101" s="33">
        <f>BY101+IF(BZ1=$Q$53,условия!$Q$154*SUMIFS(условия!$156:$156,условия!$8:$8,"&lt;="&amp;BZ$9,условия!$9:$9,"&gt;="&amp;BZ$9),0)+BZ51*условия!$Q$154*SUMIFS(условия!$156:$156,условия!$8:$8,"&lt;="&amp;BZ$9,условия!$9:$9,"&gt;="&amp;BZ$9)</f>
        <v>344.74749000000003</v>
      </c>
      <c r="CA101" s="33">
        <f>BZ101+IF(CA1=$Q$53,условия!$Q$154*SUMIFS(условия!$156:$156,условия!$8:$8,"&lt;="&amp;CA$9,условия!$9:$9,"&gt;="&amp;CA$9),0)+CA51*условия!$Q$154*SUMIFS(условия!$156:$156,условия!$8:$8,"&lt;="&amp;CA$9,условия!$9:$9,"&gt;="&amp;CA$9)</f>
        <v>344.74749000000003</v>
      </c>
      <c r="CB101" s="33">
        <f>CA101+IF(CB1=$Q$53,условия!$Q$154*SUMIFS(условия!$156:$156,условия!$8:$8,"&lt;="&amp;CB$9,условия!$9:$9,"&gt;="&amp;CB$9),0)+CB51*условия!$Q$154*SUMIFS(условия!$156:$156,условия!$8:$8,"&lt;="&amp;CB$9,условия!$9:$9,"&gt;="&amp;CB$9)</f>
        <v>344.74749000000003</v>
      </c>
      <c r="CC101" s="33">
        <f>CB101+IF(CC1=$Q$53,условия!$Q$154*SUMIFS(условия!$156:$156,условия!$8:$8,"&lt;="&amp;CC$9,условия!$9:$9,"&gt;="&amp;CC$9),0)+CC51*условия!$Q$154*SUMIFS(условия!$156:$156,условия!$8:$8,"&lt;="&amp;CC$9,условия!$9:$9,"&gt;="&amp;CC$9)</f>
        <v>344.74749000000003</v>
      </c>
      <c r="CD101" s="33">
        <f>CC101+IF(CD1=$Q$53,условия!$Q$154*SUMIFS(условия!$156:$156,условия!$8:$8,"&lt;="&amp;CD$9,условия!$9:$9,"&gt;="&amp;CD$9),0)+CD51*условия!$Q$154*SUMIFS(условия!$156:$156,условия!$8:$8,"&lt;="&amp;CD$9,условия!$9:$9,"&gt;="&amp;CD$9)</f>
        <v>344.74749000000003</v>
      </c>
      <c r="CE101" s="33">
        <f>CD101+IF(CE1=$Q$53,условия!$Q$154*SUMIFS(условия!$156:$156,условия!$8:$8,"&lt;="&amp;CE$9,условия!$9:$9,"&gt;="&amp;CE$9),0)+CE51*условия!$Q$154*SUMIFS(условия!$156:$156,условия!$8:$8,"&lt;="&amp;CE$9,условия!$9:$9,"&gt;="&amp;CE$9)</f>
        <v>344.74749000000003</v>
      </c>
      <c r="CF101" s="33">
        <f>CE101+IF(CF1=$Q$53,условия!$Q$154*SUMIFS(условия!$156:$156,условия!$8:$8,"&lt;="&amp;CF$9,условия!$9:$9,"&gt;="&amp;CF$9),0)+CF51*условия!$Q$154*SUMIFS(условия!$156:$156,условия!$8:$8,"&lt;="&amp;CF$9,условия!$9:$9,"&gt;="&amp;CF$9)</f>
        <v>344.74749000000003</v>
      </c>
      <c r="CG101" s="33">
        <f>CF101+IF(CG1=$Q$53,условия!$Q$154*SUMIFS(условия!$156:$156,условия!$8:$8,"&lt;="&amp;CG$9,условия!$9:$9,"&gt;="&amp;CG$9),0)+CG51*условия!$Q$154*SUMIFS(условия!$156:$156,условия!$8:$8,"&lt;="&amp;CG$9,условия!$9:$9,"&gt;="&amp;CG$9)</f>
        <v>344.74749000000003</v>
      </c>
      <c r="CH101" s="33">
        <f>CG101+IF(CH1=$Q$53,условия!$Q$154*SUMIFS(условия!$156:$156,условия!$8:$8,"&lt;="&amp;CH$9,условия!$9:$9,"&gt;="&amp;CH$9),0)+CH51*условия!$Q$154*SUMIFS(условия!$156:$156,условия!$8:$8,"&lt;="&amp;CH$9,условия!$9:$9,"&gt;="&amp;CH$9)</f>
        <v>344.74749000000003</v>
      </c>
      <c r="CI101" s="33">
        <f>CH101+IF(CI1=$Q$53,условия!$Q$154*SUMIFS(условия!$156:$156,условия!$8:$8,"&lt;="&amp;CI$9,условия!$9:$9,"&gt;="&amp;CI$9),0)+CI51*условия!$Q$154*SUMIFS(условия!$156:$156,условия!$8:$8,"&lt;="&amp;CI$9,условия!$9:$9,"&gt;="&amp;CI$9)</f>
        <v>344.74749000000003</v>
      </c>
      <c r="CJ101" s="33">
        <f>CI101+IF(CJ1=$Q$53,условия!$Q$154*SUMIFS(условия!$156:$156,условия!$8:$8,"&lt;="&amp;CJ$9,условия!$9:$9,"&gt;="&amp;CJ$9),0)+CJ51*условия!$Q$154*SUMIFS(условия!$156:$156,условия!$8:$8,"&lt;="&amp;CJ$9,условия!$9:$9,"&gt;="&amp;CJ$9)</f>
        <v>344.74749000000003</v>
      </c>
      <c r="CK101" s="33">
        <f>CJ101+IF(CK1=$Q$53,условия!$Q$154*SUMIFS(условия!$156:$156,условия!$8:$8,"&lt;="&amp;CK$9,условия!$9:$9,"&gt;="&amp;CK$9),0)+CK51*условия!$Q$154*SUMIFS(условия!$156:$156,условия!$8:$8,"&lt;="&amp;CK$9,условия!$9:$9,"&gt;="&amp;CK$9)</f>
        <v>344.74749000000003</v>
      </c>
      <c r="CL101" s="33">
        <f>CK101+IF(CL1=$Q$53,условия!$Q$154*SUMIFS(условия!$156:$156,условия!$8:$8,"&lt;="&amp;CL$9,условия!$9:$9,"&gt;="&amp;CL$9),0)+CL51*условия!$Q$154*SUMIFS(условия!$156:$156,условия!$8:$8,"&lt;="&amp;CL$9,условия!$9:$9,"&gt;="&amp;CL$9)</f>
        <v>344.74749000000003</v>
      </c>
      <c r="CM101" s="33">
        <f>CL101+IF(CM1=$Q$53,условия!$Q$154*SUMIFS(условия!$156:$156,условия!$8:$8,"&lt;="&amp;CM$9,условия!$9:$9,"&gt;="&amp;CM$9),0)+CM51*условия!$Q$154*SUMIFS(условия!$156:$156,условия!$8:$8,"&lt;="&amp;CM$9,условия!$9:$9,"&gt;="&amp;CM$9)</f>
        <v>344.74749000000003</v>
      </c>
      <c r="CN101" s="33">
        <f>CM101+IF(CN1=$Q$53,условия!$Q$154*SUMIFS(условия!$156:$156,условия!$8:$8,"&lt;="&amp;CN$9,условия!$9:$9,"&gt;="&amp;CN$9),0)+CN51*условия!$Q$154*SUMIFS(условия!$156:$156,условия!$8:$8,"&lt;="&amp;CN$9,условия!$9:$9,"&gt;="&amp;CN$9)</f>
        <v>344.74749000000003</v>
      </c>
      <c r="CO101" s="33">
        <f>CN101+IF(CO1=$Q$53,условия!$Q$154*SUMIFS(условия!$156:$156,условия!$8:$8,"&lt;="&amp;CO$9,условия!$9:$9,"&gt;="&amp;CO$9),0)+CO51*условия!$Q$154*SUMIFS(условия!$156:$156,условия!$8:$8,"&lt;="&amp;CO$9,условия!$9:$9,"&gt;="&amp;CO$9)</f>
        <v>344.74749000000003</v>
      </c>
      <c r="CP101" s="33">
        <f>CO101+IF(CP1=$Q$53,условия!$Q$154*SUMIFS(условия!$156:$156,условия!$8:$8,"&lt;="&amp;CP$9,условия!$9:$9,"&gt;="&amp;CP$9),0)+CP51*условия!$Q$154*SUMIFS(условия!$156:$156,условия!$8:$8,"&lt;="&amp;CP$9,условия!$9:$9,"&gt;="&amp;CP$9)</f>
        <v>344.74749000000003</v>
      </c>
      <c r="CQ101" s="33">
        <f>CP101+IF(CQ1=$Q$53,условия!$Q$154*SUMIFS(условия!$156:$156,условия!$8:$8,"&lt;="&amp;CQ$9,условия!$9:$9,"&gt;="&amp;CQ$9),0)+CQ51*условия!$Q$154*SUMIFS(условия!$156:$156,условия!$8:$8,"&lt;="&amp;CQ$9,условия!$9:$9,"&gt;="&amp;CQ$9)</f>
        <v>344.74749000000003</v>
      </c>
      <c r="CR101" s="33">
        <f>CQ101+IF(CR1=$Q$53,условия!$Q$154*SUMIFS(условия!$156:$156,условия!$8:$8,"&lt;="&amp;CR$9,условия!$9:$9,"&gt;="&amp;CR$9),0)+CR51*условия!$Q$154*SUMIFS(условия!$156:$156,условия!$8:$8,"&lt;="&amp;CR$9,условия!$9:$9,"&gt;="&amp;CR$9)</f>
        <v>344.74749000000003</v>
      </c>
      <c r="CS101" s="33">
        <f>CR101+IF(CS1=$Q$53,условия!$Q$154*SUMIFS(условия!$156:$156,условия!$8:$8,"&lt;="&amp;CS$9,условия!$9:$9,"&gt;="&amp;CS$9),0)+CS51*условия!$Q$154*SUMIFS(условия!$156:$156,условия!$8:$8,"&lt;="&amp;CS$9,условия!$9:$9,"&gt;="&amp;CS$9)</f>
        <v>344.74749000000003</v>
      </c>
      <c r="CT101" s="33">
        <f>CS101+IF(CT1=$Q$53,условия!$Q$154*SUMIFS(условия!$156:$156,условия!$8:$8,"&lt;="&amp;CT$9,условия!$9:$9,"&gt;="&amp;CT$9),0)+CT51*условия!$Q$154*SUMIFS(условия!$156:$156,условия!$8:$8,"&lt;="&amp;CT$9,условия!$9:$9,"&gt;="&amp;CT$9)</f>
        <v>344.74749000000003</v>
      </c>
      <c r="CU101" s="33">
        <f>CT101+IF(CU1=$Q$53,условия!$Q$154*SUMIFS(условия!$156:$156,условия!$8:$8,"&lt;="&amp;CU$9,условия!$9:$9,"&gt;="&amp;CU$9),0)+CU51*условия!$Q$154*SUMIFS(условия!$156:$156,условия!$8:$8,"&lt;="&amp;CU$9,условия!$9:$9,"&gt;="&amp;CU$9)</f>
        <v>344.74749000000003</v>
      </c>
      <c r="CV101" s="33">
        <f>CU101+IF(CV1=$Q$53,условия!$Q$154*SUMIFS(условия!$156:$156,условия!$8:$8,"&lt;="&amp;CV$9,условия!$9:$9,"&gt;="&amp;CV$9),0)+CV51*условия!$Q$154*SUMIFS(условия!$156:$156,условия!$8:$8,"&lt;="&amp;CV$9,условия!$9:$9,"&gt;="&amp;CV$9)</f>
        <v>344.74749000000003</v>
      </c>
      <c r="CW101" s="33">
        <f>CV101+IF(CW1=$Q$53,условия!$Q$154*SUMIFS(условия!$156:$156,условия!$8:$8,"&lt;="&amp;CW$9,условия!$9:$9,"&gt;="&amp;CW$9),0)+CW51*условия!$Q$154*SUMIFS(условия!$156:$156,условия!$8:$8,"&lt;="&amp;CW$9,условия!$9:$9,"&gt;="&amp;CW$9)</f>
        <v>344.74749000000003</v>
      </c>
      <c r="CX101" s="33">
        <f>CW101+IF(CX1=$Q$53,условия!$Q$154*SUMIFS(условия!$156:$156,условия!$8:$8,"&lt;="&amp;CX$9,условия!$9:$9,"&gt;="&amp;CX$9),0)+CX51*условия!$Q$154*SUMIFS(условия!$156:$156,условия!$8:$8,"&lt;="&amp;CX$9,условия!$9:$9,"&gt;="&amp;CX$9)</f>
        <v>344.74749000000003</v>
      </c>
      <c r="CY101" s="33">
        <f>CX101+IF(CY1=$Q$53,условия!$Q$154*SUMIFS(условия!$156:$156,условия!$8:$8,"&lt;="&amp;CY$9,условия!$9:$9,"&gt;="&amp;CY$9),0)+CY51*условия!$Q$154*SUMIFS(условия!$156:$156,условия!$8:$8,"&lt;="&amp;CY$9,условия!$9:$9,"&gt;="&amp;CY$9)</f>
        <v>344.74749000000003</v>
      </c>
      <c r="CZ101" s="33">
        <f>CY101+IF(CZ1=$Q$53,условия!$Q$154*SUMIFS(условия!$156:$156,условия!$8:$8,"&lt;="&amp;CZ$9,условия!$9:$9,"&gt;="&amp;CZ$9),0)+CZ51*условия!$Q$154*SUMIFS(условия!$156:$156,условия!$8:$8,"&lt;="&amp;CZ$9,условия!$9:$9,"&gt;="&amp;CZ$9)</f>
        <v>344.74749000000003</v>
      </c>
      <c r="DA101" s="33">
        <f>CZ101+IF(DA1=$Q$53,условия!$Q$154*SUMIFS(условия!$156:$156,условия!$8:$8,"&lt;="&amp;DA$9,условия!$9:$9,"&gt;="&amp;DA$9),0)+DA51*условия!$Q$154*SUMIFS(условия!$156:$156,условия!$8:$8,"&lt;="&amp;DA$9,условия!$9:$9,"&gt;="&amp;DA$9)</f>
        <v>344.74749000000003</v>
      </c>
      <c r="DB101" s="33">
        <f>DA101+IF(DB1=$Q$53,условия!$Q$154*SUMIFS(условия!$156:$156,условия!$8:$8,"&lt;="&amp;DB$9,условия!$9:$9,"&gt;="&amp;DB$9),0)+DB51*условия!$Q$154*SUMIFS(условия!$156:$156,условия!$8:$8,"&lt;="&amp;DB$9,условия!$9:$9,"&gt;="&amp;DB$9)</f>
        <v>344.74749000000003</v>
      </c>
      <c r="DC101" s="33">
        <f>DB101+IF(DC1=$Q$53,условия!$Q$154*SUMIFS(условия!$156:$156,условия!$8:$8,"&lt;="&amp;DC$9,условия!$9:$9,"&gt;="&amp;DC$9),0)+DC51*условия!$Q$154*SUMIFS(условия!$156:$156,условия!$8:$8,"&lt;="&amp;DC$9,условия!$9:$9,"&gt;="&amp;DC$9)</f>
        <v>344.74749000000003</v>
      </c>
      <c r="DD101" s="33">
        <f>DC101+IF(DD1=$Q$53,условия!$Q$154*SUMIFS(условия!$156:$156,условия!$8:$8,"&lt;="&amp;DD$9,условия!$9:$9,"&gt;="&amp;DD$9),0)+DD51*условия!$Q$154*SUMIFS(условия!$156:$156,условия!$8:$8,"&lt;="&amp;DD$9,условия!$9:$9,"&gt;="&amp;DD$9)</f>
        <v>344.74749000000003</v>
      </c>
      <c r="DE101" s="33">
        <f>DD101+IF(DE1=$Q$53,условия!$Q$154*SUMIFS(условия!$156:$156,условия!$8:$8,"&lt;="&amp;DE$9,условия!$9:$9,"&gt;="&amp;DE$9),0)+DE51*условия!$Q$154*SUMIFS(условия!$156:$156,условия!$8:$8,"&lt;="&amp;DE$9,условия!$9:$9,"&gt;="&amp;DE$9)</f>
        <v>344.74749000000003</v>
      </c>
      <c r="DF101" s="33">
        <f>DE101+IF(DF1=$Q$53,условия!$Q$154*SUMIFS(условия!$156:$156,условия!$8:$8,"&lt;="&amp;DF$9,условия!$9:$9,"&gt;="&amp;DF$9),0)+DF51*условия!$Q$154*SUMIFS(условия!$156:$156,условия!$8:$8,"&lt;="&amp;DF$9,условия!$9:$9,"&gt;="&amp;DF$9)</f>
        <v>344.74749000000003</v>
      </c>
      <c r="DG101" s="33">
        <f>DF101+IF(DG1=$Q$53,условия!$Q$154*SUMIFS(условия!$156:$156,условия!$8:$8,"&lt;="&amp;DG$9,условия!$9:$9,"&gt;="&amp;DG$9),0)+DG51*условия!$Q$154*SUMIFS(условия!$156:$156,условия!$8:$8,"&lt;="&amp;DG$9,условия!$9:$9,"&gt;="&amp;DG$9)</f>
        <v>344.74749000000003</v>
      </c>
      <c r="DH101" s="33">
        <f>DG101+IF(DH1=$Q$53,условия!$Q$154*SUMIFS(условия!$156:$156,условия!$8:$8,"&lt;="&amp;DH$9,условия!$9:$9,"&gt;="&amp;DH$9),0)+DH51*условия!$Q$154*SUMIFS(условия!$156:$156,условия!$8:$8,"&lt;="&amp;DH$9,условия!$9:$9,"&gt;="&amp;DH$9)</f>
        <v>344.74749000000003</v>
      </c>
      <c r="DI101" s="33">
        <f>DH101+IF(DI1=$Q$53,условия!$Q$154*SUMIFS(условия!$156:$156,условия!$8:$8,"&lt;="&amp;DI$9,условия!$9:$9,"&gt;="&amp;DI$9),0)+DI51*условия!$Q$154*SUMIFS(условия!$156:$156,условия!$8:$8,"&lt;="&amp;DI$9,условия!$9:$9,"&gt;="&amp;DI$9)</f>
        <v>344.74749000000003</v>
      </c>
      <c r="DJ101" s="33">
        <f>DI101+IF(DJ1=$Q$53,условия!$Q$154*SUMIFS(условия!$156:$156,условия!$8:$8,"&lt;="&amp;DJ$9,условия!$9:$9,"&gt;="&amp;DJ$9),0)+DJ51*условия!$Q$154*SUMIFS(условия!$156:$156,условия!$8:$8,"&lt;="&amp;DJ$9,условия!$9:$9,"&gt;="&amp;DJ$9)</f>
        <v>570.17160462480012</v>
      </c>
      <c r="DK101" s="33">
        <f>DJ101+IF(DK1=$Q$53,условия!$Q$154*SUMIFS(условия!$156:$156,условия!$8:$8,"&lt;="&amp;DK$9,условия!$9:$9,"&gt;="&amp;DK$9),0)+DK51*условия!$Q$154*SUMIFS(условия!$156:$156,условия!$8:$8,"&lt;="&amp;DK$9,условия!$9:$9,"&gt;="&amp;DK$9)</f>
        <v>570.17160462480012</v>
      </c>
      <c r="DL101" s="33">
        <f>DK101+IF(DL1=$Q$53,условия!$Q$154*SUMIFS(условия!$156:$156,условия!$8:$8,"&lt;="&amp;DL$9,условия!$9:$9,"&gt;="&amp;DL$9),0)+DL51*условия!$Q$154*SUMIFS(условия!$156:$156,условия!$8:$8,"&lt;="&amp;DL$9,условия!$9:$9,"&gt;="&amp;DL$9)</f>
        <v>570.17160462480012</v>
      </c>
      <c r="DM101" s="33">
        <f>DL101+IF(DM1=$Q$53,условия!$Q$154*SUMIFS(условия!$156:$156,условия!$8:$8,"&lt;="&amp;DM$9,условия!$9:$9,"&gt;="&amp;DM$9),0)+DM51*условия!$Q$154*SUMIFS(условия!$156:$156,условия!$8:$8,"&lt;="&amp;DM$9,условия!$9:$9,"&gt;="&amp;DM$9)</f>
        <v>570.17160462480012</v>
      </c>
      <c r="DN101" s="33">
        <f>DM101+IF(DN1=$Q$53,условия!$Q$154*SUMIFS(условия!$156:$156,условия!$8:$8,"&lt;="&amp;DN$9,условия!$9:$9,"&gt;="&amp;DN$9),0)+DN51*условия!$Q$154*SUMIFS(условия!$156:$156,условия!$8:$8,"&lt;="&amp;DN$9,условия!$9:$9,"&gt;="&amp;DN$9)</f>
        <v>570.17160462480012</v>
      </c>
      <c r="DO101" s="33">
        <f>DN101+IF(DO1=$Q$53,условия!$Q$154*SUMIFS(условия!$156:$156,условия!$8:$8,"&lt;="&amp;DO$9,условия!$9:$9,"&gt;="&amp;DO$9),0)+DO51*условия!$Q$154*SUMIFS(условия!$156:$156,условия!$8:$8,"&lt;="&amp;DO$9,условия!$9:$9,"&gt;="&amp;DO$9)</f>
        <v>570.17160462480012</v>
      </c>
      <c r="DP101" s="33">
        <f>DO101+IF(DP1=$Q$53,условия!$Q$154*SUMIFS(условия!$156:$156,условия!$8:$8,"&lt;="&amp;DP$9,условия!$9:$9,"&gt;="&amp;DP$9),0)+DP51*условия!$Q$154*SUMIFS(условия!$156:$156,условия!$8:$8,"&lt;="&amp;DP$9,условия!$9:$9,"&gt;="&amp;DP$9)</f>
        <v>570.17160462480012</v>
      </c>
      <c r="DQ101" s="33">
        <f>DP101+IF(DQ1=$Q$53,условия!$Q$154*SUMIFS(условия!$156:$156,условия!$8:$8,"&lt;="&amp;DQ$9,условия!$9:$9,"&gt;="&amp;DQ$9),0)+DQ51*условия!$Q$154*SUMIFS(условия!$156:$156,условия!$8:$8,"&lt;="&amp;DQ$9,условия!$9:$9,"&gt;="&amp;DQ$9)</f>
        <v>570.17160462480012</v>
      </c>
      <c r="DR101" s="33">
        <f>DQ101+IF(DR1=$Q$53,условия!$Q$154*SUMIFS(условия!$156:$156,условия!$8:$8,"&lt;="&amp;DR$9,условия!$9:$9,"&gt;="&amp;DR$9),0)+DR51*условия!$Q$154*SUMIFS(условия!$156:$156,условия!$8:$8,"&lt;="&amp;DR$9,условия!$9:$9,"&gt;="&amp;DR$9)</f>
        <v>570.17160462480012</v>
      </c>
      <c r="DS101" s="33">
        <f>DR101+IF(DS1=$Q$53,условия!$Q$154*SUMIFS(условия!$156:$156,условия!$8:$8,"&lt;="&amp;DS$9,условия!$9:$9,"&gt;="&amp;DS$9),0)+DS51*условия!$Q$154*SUMIFS(условия!$156:$156,условия!$8:$8,"&lt;="&amp;DS$9,условия!$9:$9,"&gt;="&amp;DS$9)</f>
        <v>570.17160462480012</v>
      </c>
      <c r="DT101" s="33">
        <f>DS101+IF(DT1=$Q$53,условия!$Q$154*SUMIFS(условия!$156:$156,условия!$8:$8,"&lt;="&amp;DT$9,условия!$9:$9,"&gt;="&amp;DT$9),0)+DT51*условия!$Q$154*SUMIFS(условия!$156:$156,условия!$8:$8,"&lt;="&amp;DT$9,условия!$9:$9,"&gt;="&amp;DT$9)</f>
        <v>570.17160462480012</v>
      </c>
      <c r="DU101" s="33">
        <f>DT101+IF(DU1=$Q$53,условия!$Q$154*SUMIFS(условия!$156:$156,условия!$8:$8,"&lt;="&amp;DU$9,условия!$9:$9,"&gt;="&amp;DU$9),0)+DU51*условия!$Q$154*SUMIFS(условия!$156:$156,условия!$8:$8,"&lt;="&amp;DU$9,условия!$9:$9,"&gt;="&amp;DU$9)</f>
        <v>570.17160462480012</v>
      </c>
      <c r="DV101" s="33">
        <f>DU101+IF(DV1=$Q$53,условия!$Q$154*SUMIFS(условия!$156:$156,условия!$8:$8,"&lt;="&amp;DV$9,условия!$9:$9,"&gt;="&amp;DV$9),0)+DV51*условия!$Q$154*SUMIFS(условия!$156:$156,условия!$8:$8,"&lt;="&amp;DV$9,условия!$9:$9,"&gt;="&amp;DV$9)</f>
        <v>570.17160462480012</v>
      </c>
      <c r="DW101" s="33">
        <f>DV101+IF(DW1=$Q$53,условия!$Q$154*SUMIFS(условия!$156:$156,условия!$8:$8,"&lt;="&amp;DW$9,условия!$9:$9,"&gt;="&amp;DW$9),0)+DW51*условия!$Q$154*SUMIFS(условия!$156:$156,условия!$8:$8,"&lt;="&amp;DW$9,условия!$9:$9,"&gt;="&amp;DW$9)</f>
        <v>570.17160462480012</v>
      </c>
      <c r="DX101" s="33">
        <f>DW101+IF(DX1=$Q$53,условия!$Q$154*SUMIFS(условия!$156:$156,условия!$8:$8,"&lt;="&amp;DX$9,условия!$9:$9,"&gt;="&amp;DX$9),0)+DX51*условия!$Q$154*SUMIFS(условия!$156:$156,условия!$8:$8,"&lt;="&amp;DX$9,условия!$9:$9,"&gt;="&amp;DX$9)</f>
        <v>570.17160462480012</v>
      </c>
      <c r="DY101" s="33">
        <f>DX101+IF(DY1=$Q$53,условия!$Q$154*SUMIFS(условия!$156:$156,условия!$8:$8,"&lt;="&amp;DY$9,условия!$9:$9,"&gt;="&amp;DY$9),0)+DY51*условия!$Q$154*SUMIFS(условия!$156:$156,условия!$8:$8,"&lt;="&amp;DY$9,условия!$9:$9,"&gt;="&amp;DY$9)</f>
        <v>570.17160462480012</v>
      </c>
      <c r="DZ101" s="33">
        <f>DY101+IF(DZ1=$Q$53,условия!$Q$154*SUMIFS(условия!$156:$156,условия!$8:$8,"&lt;="&amp;DZ$9,условия!$9:$9,"&gt;="&amp;DZ$9),0)+DZ51*условия!$Q$154*SUMIFS(условия!$156:$156,условия!$8:$8,"&lt;="&amp;DZ$9,условия!$9:$9,"&gt;="&amp;DZ$9)</f>
        <v>570.17160462480012</v>
      </c>
      <c r="EA101" s="33">
        <f>DZ101+IF(EA1=$Q$53,условия!$Q$154*SUMIFS(условия!$156:$156,условия!$8:$8,"&lt;="&amp;EA$9,условия!$9:$9,"&gt;="&amp;EA$9),0)+EA51*условия!$Q$154*SUMIFS(условия!$156:$156,условия!$8:$8,"&lt;="&amp;EA$9,условия!$9:$9,"&gt;="&amp;EA$9)</f>
        <v>570.17160462480012</v>
      </c>
      <c r="EB101" s="33">
        <f>EA101+IF(EB1=$Q$53,условия!$Q$154*SUMIFS(условия!$156:$156,условия!$8:$8,"&lt;="&amp;EB$9,условия!$9:$9,"&gt;="&amp;EB$9),0)+EB51*условия!$Q$154*SUMIFS(условия!$156:$156,условия!$8:$8,"&lt;="&amp;EB$9,условия!$9:$9,"&gt;="&amp;EB$9)</f>
        <v>570.17160462480012</v>
      </c>
      <c r="EC101" s="33">
        <f>EB101+IF(EC1=$Q$53,условия!$Q$154*SUMIFS(условия!$156:$156,условия!$8:$8,"&lt;="&amp;EC$9,условия!$9:$9,"&gt;="&amp;EC$9),0)+EC51*условия!$Q$154*SUMIFS(условия!$156:$156,условия!$8:$8,"&lt;="&amp;EC$9,условия!$9:$9,"&gt;="&amp;EC$9)</f>
        <v>570.17160462480012</v>
      </c>
      <c r="ED101" s="33">
        <f>EC101+IF(ED1=$Q$53,условия!$Q$154*SUMIFS(условия!$156:$156,условия!$8:$8,"&lt;="&amp;ED$9,условия!$9:$9,"&gt;="&amp;ED$9),0)+ED51*условия!$Q$154*SUMIFS(условия!$156:$156,условия!$8:$8,"&lt;="&amp;ED$9,условия!$9:$9,"&gt;="&amp;ED$9)</f>
        <v>570.17160462480012</v>
      </c>
      <c r="EE101" s="33">
        <f>ED101+IF(EE1=$Q$53,условия!$Q$154*SUMIFS(условия!$156:$156,условия!$8:$8,"&lt;="&amp;EE$9,условия!$9:$9,"&gt;="&amp;EE$9),0)+EE51*условия!$Q$154*SUMIFS(условия!$156:$156,условия!$8:$8,"&lt;="&amp;EE$9,условия!$9:$9,"&gt;="&amp;EE$9)</f>
        <v>570.17160462480012</v>
      </c>
      <c r="EF101" s="33">
        <f>EE101+IF(EF1=$Q$53,условия!$Q$154*SUMIFS(условия!$156:$156,условия!$8:$8,"&lt;="&amp;EF$9,условия!$9:$9,"&gt;="&amp;EF$9),0)+EF51*условия!$Q$154*SUMIFS(условия!$156:$156,условия!$8:$8,"&lt;="&amp;EF$9,условия!$9:$9,"&gt;="&amp;EF$9)</f>
        <v>570.17160462480012</v>
      </c>
      <c r="EG101" s="33">
        <f>EF101+IF(EG1=$Q$53,условия!$Q$154*SUMIFS(условия!$156:$156,условия!$8:$8,"&lt;="&amp;EG$9,условия!$9:$9,"&gt;="&amp;EG$9),0)+EG51*условия!$Q$154*SUMIFS(условия!$156:$156,условия!$8:$8,"&lt;="&amp;EG$9,условия!$9:$9,"&gt;="&amp;EG$9)</f>
        <v>570.17160462480012</v>
      </c>
      <c r="EH101" s="33">
        <f>EG101+IF(EH1=$Q$53,условия!$Q$154*SUMIFS(условия!$156:$156,условия!$8:$8,"&lt;="&amp;EH$9,условия!$9:$9,"&gt;="&amp;EH$9),0)+EH51*условия!$Q$154*SUMIFS(условия!$156:$156,условия!$8:$8,"&lt;="&amp;EH$9,условия!$9:$9,"&gt;="&amp;EH$9)</f>
        <v>570.17160462480012</v>
      </c>
      <c r="EI101" s="33">
        <f>EH101+IF(EI1=$Q$53,условия!$Q$154*SUMIFS(условия!$156:$156,условия!$8:$8,"&lt;="&amp;EI$9,условия!$9:$9,"&gt;="&amp;EI$9),0)+EI51*условия!$Q$154*SUMIFS(условия!$156:$156,условия!$8:$8,"&lt;="&amp;EI$9,условия!$9:$9,"&gt;="&amp;EI$9)</f>
        <v>570.17160462480012</v>
      </c>
      <c r="EJ101" s="3"/>
      <c r="EK101" s="3"/>
    </row>
    <row r="102" spans="1:14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</row>
    <row r="103" spans="1:141" x14ac:dyDescent="0.25">
      <c r="A103" s="3"/>
      <c r="B103" s="3"/>
      <c r="C103" s="3"/>
      <c r="D103" s="3"/>
      <c r="E103" s="3"/>
      <c r="F103" s="10" t="str">
        <f>KPI!$F$104</f>
        <v>переменный ФОТ персонала склада ГП</v>
      </c>
      <c r="G103" s="3"/>
      <c r="H103" s="3"/>
      <c r="I103" s="3"/>
      <c r="J103" s="5" t="str">
        <f>IF($F103="","",INDEX(KPI!$I$11:$I$275,SUMIFS(KPI!$E$11:$E$275,KPI!$F$11:$F$275,$F103)))</f>
        <v>тыс.руб.</v>
      </c>
      <c r="K103" s="3"/>
      <c r="L103" s="3"/>
      <c r="M103" s="3"/>
      <c r="N103" s="3"/>
      <c r="O103" s="3"/>
      <c r="P103" s="3"/>
      <c r="Q103" s="12">
        <f>SUM(S103:EJ103)</f>
        <v>41234.427741328611</v>
      </c>
      <c r="R103" s="3"/>
      <c r="S103" s="55"/>
      <c r="T103" s="33">
        <f>IF(условия!$Q$158=0,0,IF(T25&lt;0,0,T25/условия!$Q$158)*SUMIFS(условия!$160:$160,условия!$8:$8,"&lt;="&amp;T$9,условия!$9:$9,"&gt;="&amp;T$9))</f>
        <v>0</v>
      </c>
      <c r="U103" s="33">
        <f>IF(условия!$Q$158=0,0,IF(U25&lt;0,0,U25/условия!$Q$158)*SUMIFS(условия!$160:$160,условия!$8:$8,"&lt;="&amp;U$9,условия!$9:$9,"&gt;="&amp;U$9))</f>
        <v>0</v>
      </c>
      <c r="V103" s="33">
        <f>IF(условия!$Q$158=0,0,IF(V25&lt;0,0,V25/условия!$Q$158)*SUMIFS(условия!$160:$160,условия!$8:$8,"&lt;="&amp;V$9,условия!$9:$9,"&gt;="&amp;V$9))</f>
        <v>0</v>
      </c>
      <c r="W103" s="33">
        <f>IF(условия!$Q$158=0,0,IF(W25&lt;0,0,W25/условия!$Q$158)*SUMIFS(условия!$160:$160,условия!$8:$8,"&lt;="&amp;W$9,условия!$9:$9,"&gt;="&amp;W$9))</f>
        <v>0</v>
      </c>
      <c r="X103" s="33">
        <f>IF(условия!$Q$158=0,0,IF(X25&lt;0,0,X25/условия!$Q$158)*SUMIFS(условия!$160:$160,условия!$8:$8,"&lt;="&amp;X$9,условия!$9:$9,"&gt;="&amp;X$9))</f>
        <v>15.096774193548388</v>
      </c>
      <c r="Y103" s="33">
        <f>IF(условия!$Q$158=0,0,IF(Y25&lt;0,0,Y25/условия!$Q$158)*SUMIFS(условия!$160:$160,условия!$8:$8,"&lt;="&amp;Y$9,условия!$9:$9,"&gt;="&amp;Y$9))</f>
        <v>0</v>
      </c>
      <c r="Z103" s="33">
        <f>IF(условия!$Q$158=0,0,IF(Z25&lt;0,0,Z25/условия!$Q$158)*SUMIFS(условия!$160:$160,условия!$8:$8,"&lt;="&amp;Z$9,условия!$9:$9,"&gt;="&amp;Z$9))</f>
        <v>1.2442396313364048</v>
      </c>
      <c r="AA103" s="33">
        <f>IF(условия!$Q$158=0,0,IF(AA25&lt;0,0,AA25/условия!$Q$158)*SUMIFS(условия!$160:$160,условия!$8:$8,"&lt;="&amp;AA$9,условия!$9:$9,"&gt;="&amp;AA$9))</f>
        <v>9.8433179723502313</v>
      </c>
      <c r="AB103" s="33">
        <f>IF(условия!$Q$158=0,0,IF(AB25&lt;0,0,AB25/условия!$Q$158)*SUMIFS(условия!$160:$160,условия!$8:$8,"&lt;="&amp;AB$9,условия!$9:$9,"&gt;="&amp;AB$9))</f>
        <v>8.4884792626728096</v>
      </c>
      <c r="AC103" s="33">
        <f>IF(условия!$Q$158=0,0,IF(AC25&lt;0,0,AC25/условия!$Q$158)*SUMIFS(условия!$160:$160,условия!$8:$8,"&lt;="&amp;AC$9,условия!$9:$9,"&gt;="&amp;AC$9))</f>
        <v>13.990783410138249</v>
      </c>
      <c r="AD103" s="33">
        <f>IF(условия!$Q$158=0,0,IF(AD25&lt;0,0,AD25/условия!$Q$158)*SUMIFS(условия!$160:$160,условия!$8:$8,"&lt;="&amp;AD$9,условия!$9:$9,"&gt;="&amp;AD$9))</f>
        <v>14.958525345622117</v>
      </c>
      <c r="AE103" s="33">
        <f>IF(условия!$Q$158=0,0,IF(AE25&lt;0,0,AE25/условия!$Q$158)*SUMIFS(условия!$160:$160,условия!$8:$8,"&lt;="&amp;AE$9,условия!$9:$9,"&gt;="&amp;AE$9))</f>
        <v>4.8940092165898657</v>
      </c>
      <c r="AF103" s="33">
        <f>IF(условия!$Q$158=0,0,IF(AF25&lt;0,0,AF25/условия!$Q$158)*SUMIFS(условия!$160:$160,условия!$8:$8,"&lt;="&amp;AF$9,условия!$9:$9,"&gt;="&amp;AF$9))</f>
        <v>40.981935483870963</v>
      </c>
      <c r="AG103" s="33">
        <f>IF(условия!$Q$158=0,0,IF(AG25&lt;0,0,AG25/условия!$Q$158)*SUMIFS(условия!$160:$160,условия!$8:$8,"&lt;="&amp;AG$9,условия!$9:$9,"&gt;="&amp;AG$9))</f>
        <v>12.112258064516126</v>
      </c>
      <c r="AH103" s="33">
        <f>IF(условия!$Q$158=0,0,IF(AH25&lt;0,0,AH25/условия!$Q$158)*SUMIFS(условия!$160:$160,условия!$8:$8,"&lt;="&amp;AH$9,условия!$9:$9,"&gt;="&amp;AH$9))</f>
        <v>38.055483870967748</v>
      </c>
      <c r="AI103" s="33">
        <f>IF(условия!$Q$158=0,0,IF(AI25&lt;0,0,AI25/условия!$Q$158)*SUMIFS(условия!$160:$160,условия!$8:$8,"&lt;="&amp;AI$9,условия!$9:$9,"&gt;="&amp;AI$9))</f>
        <v>15.456774193548382</v>
      </c>
      <c r="AJ103" s="33">
        <f>IF(условия!$Q$158=0,0,IF(AJ25&lt;0,0,AJ25/условия!$Q$158)*SUMIFS(условия!$160:$160,условия!$8:$8,"&lt;="&amp;AJ$9,условия!$9:$9,"&gt;="&amp;AJ$9))</f>
        <v>15.689032258064522</v>
      </c>
      <c r="AK103" s="33">
        <f>IF(условия!$Q$158=0,0,IF(AK25&lt;0,0,AK25/условия!$Q$158)*SUMIFS(условия!$160:$160,условия!$8:$8,"&lt;="&amp;AK$9,условия!$9:$9,"&gt;="&amp;AK$9))</f>
        <v>14.725161290322575</v>
      </c>
      <c r="AL103" s="33">
        <f>IF(условия!$Q$158=0,0,IF(AL25&lt;0,0,AL25/условия!$Q$158)*SUMIFS(условия!$160:$160,условия!$8:$8,"&lt;="&amp;AL$9,условия!$9:$9,"&gt;="&amp;AL$9))</f>
        <v>16.629677419354845</v>
      </c>
      <c r="AM103" s="33">
        <f>IF(условия!$Q$158=0,0,IF(AM25&lt;0,0,AM25/условия!$Q$158)*SUMIFS(условия!$160:$160,условия!$8:$8,"&lt;="&amp;AM$9,условия!$9:$9,"&gt;="&amp;AM$9))</f>
        <v>25.281290322580642</v>
      </c>
      <c r="AN103" s="33">
        <f>IF(условия!$Q$158=0,0,IF(AN25&lt;0,0,AN25/условия!$Q$158)*SUMIFS(условия!$160:$160,условия!$8:$8,"&lt;="&amp;AN$9,условия!$9:$9,"&gt;="&amp;AN$9))</f>
        <v>44.012903225806454</v>
      </c>
      <c r="AO103" s="33">
        <f>IF(условия!$Q$158=0,0,IF(AO25&lt;0,0,AO25/условия!$Q$158)*SUMIFS(условия!$160:$160,условия!$8:$8,"&lt;="&amp;AO$9,условия!$9:$9,"&gt;="&amp;AO$9))</f>
        <v>40.958709677419357</v>
      </c>
      <c r="AP103" s="33">
        <f>IF(условия!$Q$158=0,0,IF(AP25&lt;0,0,AP25/условия!$Q$158)*SUMIFS(условия!$160:$160,условия!$8:$8,"&lt;="&amp;AP$9,условия!$9:$9,"&gt;="&amp;AP$9))</f>
        <v>68.469677419354838</v>
      </c>
      <c r="AQ103" s="33">
        <f>IF(условия!$Q$158=0,0,IF(AQ25&lt;0,0,AQ25/условия!$Q$158)*SUMIFS(условия!$160:$160,условия!$8:$8,"&lt;="&amp;AQ$9,условия!$9:$9,"&gt;="&amp;AQ$9))</f>
        <v>6.5729032258064537</v>
      </c>
      <c r="AR103" s="33">
        <f>IF(условия!$Q$158=0,0,IF(AR25&lt;0,0,AR25/условия!$Q$158)*SUMIFS(условия!$160:$160,условия!$8:$8,"&lt;="&amp;AR$9,условия!$9:$9,"&gt;="&amp;AR$9))</f>
        <v>109.11100645161291</v>
      </c>
      <c r="AS103" s="33">
        <f>IF(условия!$Q$158=0,0,IF(AS25&lt;0,0,AS25/условия!$Q$158)*SUMIFS(условия!$160:$160,условия!$8:$8,"&lt;="&amp;AS$9,условия!$9:$9,"&gt;="&amp;AS$9))</f>
        <v>38.176219354838736</v>
      </c>
      <c r="AT103" s="33">
        <f>IF(условия!$Q$158=0,0,IF(AT25&lt;0,0,AT25/условия!$Q$158)*SUMIFS(условия!$160:$160,условия!$8:$8,"&lt;="&amp;AT$9,условия!$9:$9,"&gt;="&amp;AT$9))</f>
        <v>100.9928129032258</v>
      </c>
      <c r="AU103" s="33">
        <f>IF(условия!$Q$158=0,0,IF(AU25&lt;0,0,AU25/условия!$Q$158)*SUMIFS(условия!$160:$160,условия!$8:$8,"&lt;="&amp;AU$9,условия!$9:$9,"&gt;="&amp;AU$9))</f>
        <v>47.454154838709712</v>
      </c>
      <c r="AV103" s="33">
        <f>IF(условия!$Q$158=0,0,IF(AV25&lt;0,0,AV25/условия!$Q$158)*SUMIFS(условия!$160:$160,условия!$8:$8,"&lt;="&amp;AV$9,условия!$9:$9,"&gt;="&amp;AV$9))</f>
        <v>38.946619354838688</v>
      </c>
      <c r="AW103" s="33">
        <f>IF(условия!$Q$158=0,0,IF(AW25&lt;0,0,AW25/условия!$Q$158)*SUMIFS(условия!$160:$160,условия!$8:$8,"&lt;="&amp;AW$9,условия!$9:$9,"&gt;="&amp;AW$9))</f>
        <v>45.424606451612931</v>
      </c>
      <c r="AX103" s="33">
        <f>IF(условия!$Q$158=0,0,IF(AX25&lt;0,0,AX25/условия!$Q$158)*SUMIFS(условия!$160:$160,условия!$8:$8,"&lt;="&amp;AX$9,условия!$9:$9,"&gt;="&amp;AX$9))</f>
        <v>41.556038709677402</v>
      </c>
      <c r="AY103" s="33">
        <f>IF(условия!$Q$158=0,0,IF(AY25&lt;0,0,AY25/условия!$Q$158)*SUMIFS(условия!$160:$160,условия!$8:$8,"&lt;="&amp;AY$9,условия!$9:$9,"&gt;="&amp;AY$9))</f>
        <v>74.708090322580674</v>
      </c>
      <c r="AZ103" s="33">
        <f>IF(условия!$Q$158=0,0,IF(AZ25&lt;0,0,AZ25/условия!$Q$158)*SUMIFS(условия!$160:$160,условия!$8:$8,"&lt;="&amp;AZ$9,условия!$9:$9,"&gt;="&amp;AZ$9))</f>
        <v>117.51913548387095</v>
      </c>
      <c r="BA103" s="33">
        <f>IF(условия!$Q$158=0,0,IF(BA25&lt;0,0,BA25/условия!$Q$158)*SUMIFS(условия!$160:$160,условия!$8:$8,"&lt;="&amp;BA$9,условия!$9:$9,"&gt;="&amp;BA$9))</f>
        <v>118.19841290322586</v>
      </c>
      <c r="BB103" s="33">
        <f>IF(условия!$Q$158=0,0,IF(BB25&lt;0,0,BB25/условия!$Q$158)*SUMIFS(условия!$160:$160,условия!$8:$8,"&lt;="&amp;BB$9,условия!$9:$9,"&gt;="&amp;BB$9))</f>
        <v>185.36403870967737</v>
      </c>
      <c r="BC103" s="33">
        <f>IF(условия!$Q$158=0,0,IF(BC25&lt;0,0,BC25/условия!$Q$158)*SUMIFS(условия!$160:$160,условия!$8:$8,"&lt;="&amp;BC$9,условия!$9:$9,"&gt;="&amp;BC$9))</f>
        <v>22.809638709677476</v>
      </c>
      <c r="BD103" s="33">
        <f>IF(условия!$Q$158=0,0,IF(BD25&lt;0,0,BD25/условия!$Q$158)*SUMIFS(условия!$160:$160,условия!$8:$8,"&lt;="&amp;BD$9,условия!$9:$9,"&gt;="&amp;BD$9))</f>
        <v>177.88262632258068</v>
      </c>
      <c r="BE103" s="33">
        <f>IF(условия!$Q$158=0,0,IF(BE25&lt;0,0,BE25/условия!$Q$158)*SUMIFS(условия!$160:$160,условия!$8:$8,"&lt;="&amp;BE$9,условия!$9:$9,"&gt;="&amp;BE$9))</f>
        <v>110.95985076307025</v>
      </c>
      <c r="BF103" s="33">
        <f>IF(условия!$Q$158=0,0,IF(BF25&lt;0,0,BF25/условия!$Q$158)*SUMIFS(условия!$160:$160,условия!$8:$8,"&lt;="&amp;BF$9,условия!$9:$9,"&gt;="&amp;BF$9))</f>
        <v>180.27159473192427</v>
      </c>
      <c r="BG103" s="33">
        <f>IF(условия!$Q$158=0,0,IF(BG25&lt;0,0,BG25/условия!$Q$158)*SUMIFS(условия!$160:$160,условия!$8:$8,"&lt;="&amp;BG$9,условия!$9:$9,"&gt;="&amp;BG$9))</f>
        <v>120.3335149454952</v>
      </c>
      <c r="BH103" s="33">
        <f>IF(условия!$Q$158=0,0,IF(BH25&lt;0,0,BH25/условия!$Q$158)*SUMIFS(условия!$160:$160,условия!$8:$8,"&lt;="&amp;BH$9,условия!$9:$9,"&gt;="&amp;BH$9))</f>
        <v>54.628052796440357</v>
      </c>
      <c r="BI103" s="33">
        <f>IF(условия!$Q$158=0,0,IF(BI25&lt;0,0,BI25/условия!$Q$158)*SUMIFS(условия!$160:$160,условия!$8:$8,"&lt;="&amp;BI$9,условия!$9:$9,"&gt;="&amp;BI$9))</f>
        <v>116.22367946162426</v>
      </c>
      <c r="BJ103" s="33">
        <f>IF(условия!$Q$158=0,0,IF(BJ25&lt;0,0,BJ25/условия!$Q$158)*SUMIFS(условия!$160:$160,условия!$8:$8,"&lt;="&amp;BJ$9,условия!$9:$9,"&gt;="&amp;BJ$9))</f>
        <v>59.912126989988721</v>
      </c>
      <c r="BK103" s="33">
        <f>IF(условия!$Q$158=0,0,IF(BK25&lt;0,0,BK25/условия!$Q$158)*SUMIFS(условия!$160:$160,условия!$8:$8,"&lt;="&amp;BK$9,условия!$9:$9,"&gt;="&amp;BK$9))</f>
        <v>175.52273430033395</v>
      </c>
      <c r="BL103" s="33">
        <f>IF(условия!$Q$158=0,0,IF(BL25&lt;0,0,BL25/условия!$Q$158)*SUMIFS(условия!$160:$160,условия!$8:$8,"&lt;="&amp;BL$9,условия!$9:$9,"&gt;="&amp;BL$9))</f>
        <v>213.73739795773071</v>
      </c>
      <c r="BM103" s="33">
        <f>IF(условия!$Q$158=0,0,IF(BM25&lt;0,0,BM25/условия!$Q$158)*SUMIFS(условия!$160:$160,условия!$8:$8,"&lt;="&amp;BM$9,условия!$9:$9,"&gt;="&amp;BM$9))</f>
        <v>263.59063752614048</v>
      </c>
      <c r="BN103" s="33">
        <f>IF(условия!$Q$158=0,0,IF(BN25&lt;0,0,BN25/условия!$Q$158)*SUMIFS(условия!$160:$160,условия!$8:$8,"&lt;="&amp;BN$9,условия!$9:$9,"&gt;="&amp;BN$9))</f>
        <v>351.12332698998881</v>
      </c>
      <c r="BO103" s="33">
        <f>IF(условия!$Q$158=0,0,IF(BO25&lt;0,0,BO25/условия!$Q$158)*SUMIFS(условия!$160:$160,условия!$8:$8,"&lt;="&amp;BO$9,условия!$9:$9,"&gt;="&amp;BO$9))</f>
        <v>70.428369784204918</v>
      </c>
      <c r="BP103" s="33">
        <f>IF(условия!$Q$158=0,0,IF(BP25&lt;0,0,BP25/условия!$Q$158)*SUMIFS(условия!$160:$160,условия!$8:$8,"&lt;="&amp;BP$9,условия!$9:$9,"&gt;="&amp;BP$9))</f>
        <v>246.0916718341266</v>
      </c>
      <c r="BQ103" s="33">
        <f>IF(условия!$Q$158=0,0,IF(BQ25&lt;0,0,BQ25/условия!$Q$158)*SUMIFS(условия!$160:$160,условия!$8:$8,"&lt;="&amp;BQ$9,условия!$9:$9,"&gt;="&amp;BQ$9))</f>
        <v>317.36576651426083</v>
      </c>
      <c r="BR103" s="33">
        <f>IF(условия!$Q$158=0,0,IF(BR25&lt;0,0,BR25/условия!$Q$158)*SUMIFS(условия!$160:$160,условия!$8:$8,"&lt;="&amp;BR$9,условия!$9:$9,"&gt;="&amp;BR$9))</f>
        <v>231.15803942122321</v>
      </c>
      <c r="BS103" s="33">
        <f>IF(условия!$Q$158=0,0,IF(BS25&lt;0,0,BS25/условия!$Q$158)*SUMIFS(условия!$160:$160,условия!$8:$8,"&lt;="&amp;BS$9,условия!$9:$9,"&gt;="&amp;BS$9))</f>
        <v>353.93402024329311</v>
      </c>
      <c r="BT103" s="33">
        <f>IF(условия!$Q$158=0,0,IF(BT25&lt;0,0,BT25/условия!$Q$158)*SUMIFS(условия!$160:$160,условия!$8:$8,"&lt;="&amp;BT$9,условия!$9:$9,"&gt;="&amp;BT$9))</f>
        <v>14.428912608319935</v>
      </c>
      <c r="BU103" s="33">
        <f>IF(условия!$Q$158=0,0,IF(BU25&lt;0,0,BU25/условия!$Q$158)*SUMIFS(условия!$160:$160,условия!$8:$8,"&lt;="&amp;BU$9,условия!$9:$9,"&gt;="&amp;BU$9))</f>
        <v>329.42754654006728</v>
      </c>
      <c r="BV103" s="33">
        <f>IF(условия!$Q$158=0,0,IF(BV25&lt;0,0,BV25/условия!$Q$158)*SUMIFS(условия!$160:$160,условия!$8:$8,"&lt;="&amp;BV$9,условия!$9:$9,"&gt;="&amp;BV$9))</f>
        <v>17.109308169610241</v>
      </c>
      <c r="BW103" s="33">
        <f>IF(условия!$Q$158=0,0,IF(BW25&lt;0,0,BW25/условия!$Q$158)*SUMIFS(условия!$160:$160,условия!$8:$8,"&lt;="&amp;BW$9,условия!$9:$9,"&gt;="&amp;BW$9))</f>
        <v>432.04840517232537</v>
      </c>
      <c r="BX103" s="33">
        <f>IF(условия!$Q$158=0,0,IF(BX25&lt;0,0,BX25/условия!$Q$158)*SUMIFS(условия!$160:$160,условия!$8:$8,"&lt;="&amp;BX$9,условия!$9:$9,"&gt;="&amp;BX$9))</f>
        <v>291.65839637606194</v>
      </c>
      <c r="BY103" s="33">
        <f>IF(условия!$Q$158=0,0,IF(BY25&lt;0,0,BY25/условия!$Q$158)*SUMIFS(условия!$160:$160,условия!$8:$8,"&lt;="&amp;BY$9,условия!$9:$9,"&gt;="&amp;BY$9))</f>
        <v>611.25199412716415</v>
      </c>
      <c r="BZ103" s="33">
        <f>IF(условия!$Q$158=0,0,IF(BZ25&lt;0,0,BZ25/условия!$Q$158)*SUMIFS(условия!$160:$160,условия!$8:$8,"&lt;="&amp;BZ$9,условия!$9:$9,"&gt;="&amp;BZ$9))</f>
        <v>551.27385216961034</v>
      </c>
      <c r="CA103" s="33">
        <f>IF(условия!$Q$158=0,0,IF(CA25&lt;0,0,CA25/условия!$Q$158)*SUMIFS(условия!$160:$160,условия!$8:$8,"&lt;="&amp;CA$9,условия!$9:$9,"&gt;="&amp;CA$9))</f>
        <v>302.24067727555121</v>
      </c>
      <c r="CB103" s="33">
        <f>IF(условия!$Q$158=0,0,IF(CB25&lt;0,0,CB25/условия!$Q$158)*SUMIFS(условия!$160:$160,условия!$8:$8,"&lt;="&amp;CB$9,условия!$9:$9,"&gt;="&amp;CB$9))</f>
        <v>133.38789791779982</v>
      </c>
      <c r="CC103" s="33">
        <f>IF(условия!$Q$158=0,0,IF(CC25&lt;0,0,CC25/условия!$Q$158)*SUMIFS(условия!$160:$160,условия!$8:$8,"&lt;="&amp;CC$9,условия!$9:$9,"&gt;="&amp;CC$9))</f>
        <v>628.1248300100458</v>
      </c>
      <c r="CD103" s="33">
        <f>IF(условия!$Q$158=0,0,IF(CD25&lt;0,0,CD25/условия!$Q$158)*SUMIFS(условия!$160:$160,условия!$8:$8,"&lt;="&amp;CD$9,условия!$9:$9,"&gt;="&amp;CD$9))</f>
        <v>113.20509371176095</v>
      </c>
      <c r="CE103" s="33">
        <f>IF(условия!$Q$158=0,0,IF(CE25&lt;0,0,CE25/условия!$Q$158)*SUMIFS(условия!$160:$160,условия!$8:$8,"&lt;="&amp;CE$9,условия!$9:$9,"&gt;="&amp;CE$9))</f>
        <v>677.54682492483289</v>
      </c>
      <c r="CF103" s="33">
        <f>IF(условия!$Q$158=0,0,IF(CF25&lt;0,0,CF25/условия!$Q$158)*SUMIFS(условия!$160:$160,условия!$8:$8,"&lt;="&amp;CF$9,условия!$9:$9,"&gt;="&amp;CF$9))</f>
        <v>0</v>
      </c>
      <c r="CG103" s="33">
        <f>IF(условия!$Q$158=0,0,IF(CG25&lt;0,0,CG25/условия!$Q$158)*SUMIFS(условия!$160:$160,условия!$8:$8,"&lt;="&amp;CG$9,условия!$9:$9,"&gt;="&amp;CG$9))</f>
        <v>285.01768336316741</v>
      </c>
      <c r="CH103" s="33">
        <f>IF(условия!$Q$158=0,0,IF(CH25&lt;0,0,CH25/условия!$Q$158)*SUMIFS(условия!$160:$160,условия!$8:$8,"&lt;="&amp;CH$9,условия!$9:$9,"&gt;="&amp;CH$9))</f>
        <v>183.32687577696177</v>
      </c>
      <c r="CI103" s="33">
        <f>IF(условия!$Q$158=0,0,IF(CI25&lt;0,0,CI25/условия!$Q$158)*SUMIFS(условия!$160:$160,условия!$8:$8,"&lt;="&amp;CI$9,условия!$9:$9,"&gt;="&amp;CI$9))</f>
        <v>423.70977380466428</v>
      </c>
      <c r="CJ103" s="33">
        <f>IF(условия!$Q$158=0,0,IF(CJ25&lt;0,0,CJ25/условия!$Q$158)*SUMIFS(условия!$160:$160,условия!$8:$8,"&lt;="&amp;CJ$9,условия!$9:$9,"&gt;="&amp;CJ$9))</f>
        <v>554.37996848798116</v>
      </c>
      <c r="CK103" s="33">
        <f>IF(условия!$Q$158=0,0,IF(CK25&lt;0,0,CK25/условия!$Q$158)*SUMIFS(условия!$160:$160,условия!$8:$8,"&lt;="&amp;CK$9,условия!$9:$9,"&gt;="&amp;CK$9))</f>
        <v>665.90342427712903</v>
      </c>
      <c r="CL103" s="33">
        <f>IF(условия!$Q$158=0,0,IF(CL25&lt;0,0,CL25/условия!$Q$158)*SUMIFS(условия!$160:$160,условия!$8:$8,"&lt;="&amp;CL$9,условия!$9:$9,"&gt;="&amp;CL$9))</f>
        <v>905.25025699296179</v>
      </c>
      <c r="CM103" s="33">
        <f>IF(условия!$Q$158=0,0,IF(CM25&lt;0,0,CM25/условия!$Q$158)*SUMIFS(условия!$160:$160,условия!$8:$8,"&lt;="&amp;CM$9,условия!$9:$9,"&gt;="&amp;CM$9))</f>
        <v>248.2746295521741</v>
      </c>
      <c r="CN103" s="33">
        <f>IF(условия!$Q$158=0,0,IF(CN25&lt;0,0,CN25/условия!$Q$158)*SUMIFS(условия!$160:$160,условия!$8:$8,"&lt;="&amp;CN$9,условия!$9:$9,"&gt;="&amp;CN$9))</f>
        <v>315.32978425962148</v>
      </c>
      <c r="CO103" s="33">
        <f>IF(условия!$Q$158=0,0,IF(CO25&lt;0,0,CO25/условия!$Q$158)*SUMIFS(условия!$160:$160,условия!$8:$8,"&lt;="&amp;CO$9,условия!$9:$9,"&gt;="&amp;CO$9))</f>
        <v>672.39701872914304</v>
      </c>
      <c r="CP103" s="33">
        <f>IF(условия!$Q$158=0,0,IF(CP25&lt;0,0,CP25/условия!$Q$158)*SUMIFS(условия!$160:$160,условия!$8:$8,"&lt;="&amp;CP$9,условия!$9:$9,"&gt;="&amp;CP$9))</f>
        <v>289.1514999806123</v>
      </c>
      <c r="CQ103" s="33">
        <f>IF(условия!$Q$158=0,0,IF(CQ25&lt;0,0,CQ25/условия!$Q$158)*SUMIFS(условия!$160:$160,условия!$8:$8,"&lt;="&amp;CQ$9,условия!$9:$9,"&gt;="&amp;CQ$9))</f>
        <v>736.50025330979338</v>
      </c>
      <c r="CR103" s="33">
        <f>IF(условия!$Q$158=0,0,IF(CR25&lt;0,0,CR25/условия!$Q$158)*SUMIFS(условия!$160:$160,условия!$8:$8,"&lt;="&amp;CR$9,условия!$9:$9,"&gt;="&amp;CR$9))</f>
        <v>0</v>
      </c>
      <c r="CS103" s="33">
        <f>IF(условия!$Q$158=0,0,IF(CS25&lt;0,0,CS25/условия!$Q$158)*SUMIFS(условия!$160:$160,условия!$8:$8,"&lt;="&amp;CS$9,условия!$9:$9,"&gt;="&amp;CS$9))</f>
        <v>512.00253538140714</v>
      </c>
      <c r="CT103" s="33">
        <f>IF(условия!$Q$158=0,0,IF(CT25&lt;0,0,CT25/условия!$Q$158)*SUMIFS(условия!$160:$160,условия!$8:$8,"&lt;="&amp;CT$9,условия!$9:$9,"&gt;="&amp;CT$9))</f>
        <v>95.467907503289851</v>
      </c>
      <c r="CU103" s="33">
        <f>IF(условия!$Q$158=0,0,IF(CU25&lt;0,0,CU25/условия!$Q$158)*SUMIFS(условия!$160:$160,условия!$8:$8,"&lt;="&amp;CU$9,условия!$9:$9,"&gt;="&amp;CU$9))</f>
        <v>691.89433504228987</v>
      </c>
      <c r="CV103" s="33">
        <f>IF(условия!$Q$158=0,0,IF(CV25&lt;0,0,CV25/условия!$Q$158)*SUMIFS(условия!$160:$160,условия!$8:$8,"&lt;="&amp;CV$9,условия!$9:$9,"&gt;="&amp;CV$9))</f>
        <v>576.74559540199482</v>
      </c>
      <c r="CW103" s="33">
        <f>IF(условия!$Q$158=0,0,IF(CW25&lt;0,0,CW25/условия!$Q$158)*SUMIFS(условия!$160:$160,условия!$8:$8,"&lt;="&amp;CW$9,условия!$9:$9,"&gt;="&amp;CW$9))</f>
        <v>1006.0337463903981</v>
      </c>
      <c r="CX103" s="33">
        <f>IF(условия!$Q$158=0,0,IF(CX25&lt;0,0,CX25/условия!$Q$158)*SUMIFS(условия!$160:$160,условия!$8:$8,"&lt;="&amp;CX$9,условия!$9:$9,"&gt;="&amp;CX$9))</f>
        <v>1031.8449990216902</v>
      </c>
      <c r="CY103" s="33">
        <f>IF(условия!$Q$158=0,0,IF(CY25&lt;0,0,CY25/условия!$Q$158)*SUMIFS(условия!$160:$160,условия!$8:$8,"&lt;="&amp;CY$9,условия!$9:$9,"&gt;="&amp;CY$9))</f>
        <v>464.34463323244216</v>
      </c>
      <c r="CZ103" s="33">
        <f>IF(условия!$Q$158=0,0,IF(CZ25&lt;0,0,CZ25/условия!$Q$158)*SUMIFS(условия!$160:$160,условия!$8:$8,"&lt;="&amp;CZ$9,условия!$9:$9,"&gt;="&amp;CZ$9))</f>
        <v>0</v>
      </c>
      <c r="DA103" s="33">
        <f>IF(условия!$Q$158=0,0,IF(DA25&lt;0,0,DA25/условия!$Q$158)*SUMIFS(условия!$160:$160,условия!$8:$8,"&lt;="&amp;DA$9,условия!$9:$9,"&gt;="&amp;DA$9))</f>
        <v>1066.8600827411392</v>
      </c>
      <c r="DB103" s="33">
        <f>IF(условия!$Q$158=0,0,IF(DB25&lt;0,0,DB25/условия!$Q$158)*SUMIFS(условия!$160:$160,условия!$8:$8,"&lt;="&amp;DB$9,условия!$9:$9,"&gt;="&amp;DB$9))</f>
        <v>63.319638545733923</v>
      </c>
      <c r="DC103" s="33">
        <f>IF(условия!$Q$158=0,0,IF(DC25&lt;0,0,DC25/условия!$Q$158)*SUMIFS(условия!$160:$160,условия!$8:$8,"&lt;="&amp;DC$9,условия!$9:$9,"&gt;="&amp;DC$9))</f>
        <v>1115.6727200940807</v>
      </c>
      <c r="DD103" s="33">
        <f>IF(условия!$Q$158=0,0,IF(DD25&lt;0,0,DD25/условия!$Q$158)*SUMIFS(условия!$160:$160,условия!$8:$8,"&lt;="&amp;DD$9,условия!$9:$9,"&gt;="&amp;DD$9))</f>
        <v>0</v>
      </c>
      <c r="DE103" s="33">
        <f>IF(условия!$Q$158=0,0,IF(DE25&lt;0,0,DE25/условия!$Q$158)*SUMIFS(условия!$160:$160,условия!$8:$8,"&lt;="&amp;DE$9,условия!$9:$9,"&gt;="&amp;DE$9))</f>
        <v>399.17733018457585</v>
      </c>
      <c r="DF103" s="33">
        <f>IF(условия!$Q$158=0,0,IF(DF25&lt;0,0,DF25/условия!$Q$158)*SUMIFS(условия!$160:$160,условия!$8:$8,"&lt;="&amp;DF$9,условия!$9:$9,"&gt;="&amp;DF$9))</f>
        <v>306.66677926426053</v>
      </c>
      <c r="DG103" s="33">
        <f>IF(условия!$Q$158=0,0,IF(DG25&lt;0,0,DG25/условия!$Q$158)*SUMIFS(условия!$160:$160,условия!$8:$8,"&lt;="&amp;DG$9,условия!$9:$9,"&gt;="&amp;DG$9))</f>
        <v>579.90444831817899</v>
      </c>
      <c r="DH103" s="33">
        <f>IF(условия!$Q$158=0,0,IF(DH25&lt;0,0,DH25/условия!$Q$158)*SUMIFS(условия!$160:$160,условия!$8:$8,"&lt;="&amp;DH$9,условия!$9:$9,"&gt;="&amp;DH$9))</f>
        <v>809.2898374212341</v>
      </c>
      <c r="DI103" s="33">
        <f>IF(условия!$Q$158=0,0,IF(DI25&lt;0,0,DI25/условия!$Q$158)*SUMIFS(условия!$160:$160,условия!$8:$8,"&lt;="&amp;DI$9,условия!$9:$9,"&gt;="&amp;DI$9))</f>
        <v>956.87174193590931</v>
      </c>
      <c r="DJ103" s="33">
        <f>IF(условия!$Q$158=0,0,IF(DJ25&lt;0,0,DJ25/условия!$Q$158)*SUMIFS(условия!$160:$160,условия!$8:$8,"&lt;="&amp;DJ$9,условия!$9:$9,"&gt;="&amp;DJ$9))</f>
        <v>1316.5668127833649</v>
      </c>
      <c r="DK103" s="33">
        <f>IF(условия!$Q$158=0,0,IF(DK25&lt;0,0,DK25/условия!$Q$158)*SUMIFS(условия!$160:$160,условия!$8:$8,"&lt;="&amp;DK$9,условия!$9:$9,"&gt;="&amp;DK$9))</f>
        <v>470.53739399698588</v>
      </c>
      <c r="DL103" s="33">
        <f>IF(условия!$Q$158=0,0,IF(DL25&lt;0,0,DL25/условия!$Q$158)*SUMIFS(условия!$160:$160,условия!$8:$8,"&lt;="&amp;DL$9,условия!$9:$9,"&gt;="&amp;DL$9))</f>
        <v>328.87780545717766</v>
      </c>
      <c r="DM103" s="33">
        <f>IF(условия!$Q$158=0,0,IF(DM25&lt;0,0,DM25/условия!$Q$158)*SUMIFS(условия!$160:$160,условия!$8:$8,"&lt;="&amp;DM$9,условия!$9:$9,"&gt;="&amp;DM$9))</f>
        <v>885.7696533895288</v>
      </c>
      <c r="DN103" s="33">
        <f>IF(условия!$Q$158=0,0,IF(DN25&lt;0,0,DN25/условия!$Q$158)*SUMIFS(условия!$160:$160,условия!$8:$8,"&lt;="&amp;DN$9,условия!$9:$9,"&gt;="&amp;DN$9))</f>
        <v>334.01373551572595</v>
      </c>
      <c r="DO103" s="33">
        <f>IF(условия!$Q$158=0,0,IF(DO25&lt;0,0,DO25/условия!$Q$158)*SUMIFS(условия!$160:$160,условия!$8:$8,"&lt;="&amp;DO$9,условия!$9:$9,"&gt;="&amp;DO$9))</f>
        <v>967.0885459832125</v>
      </c>
      <c r="DP103" s="33">
        <f>IF(условия!$Q$158=0,0,IF(DP25&lt;0,0,DP25/условия!$Q$158)*SUMIFS(условия!$160:$160,условия!$8:$8,"&lt;="&amp;DP$9,условия!$9:$9,"&gt;="&amp;DP$9))</f>
        <v>0</v>
      </c>
      <c r="DQ103" s="33">
        <f>IF(условия!$Q$158=0,0,IF(DQ25&lt;0,0,DQ25/условия!$Q$158)*SUMIFS(условия!$160:$160,условия!$8:$8,"&lt;="&amp;DQ$9,условия!$9:$9,"&gt;="&amp;DQ$9))</f>
        <v>704.65668807430507</v>
      </c>
      <c r="DR103" s="33">
        <f>IF(условия!$Q$158=0,0,IF(DR25&lt;0,0,DR25/условия!$Q$158)*SUMIFS(условия!$160:$160,условия!$8:$8,"&lt;="&amp;DR$9,условия!$9:$9,"&gt;="&amp;DR$9))</f>
        <v>74.292704138875123</v>
      </c>
      <c r="DS103" s="33">
        <f>IF(условия!$Q$158=0,0,IF(DS25&lt;0,0,DS25/условия!$Q$158)*SUMIFS(условия!$160:$160,условия!$8:$8,"&lt;="&amp;DS$9,условия!$9:$9,"&gt;="&amp;DS$9))</f>
        <v>904.10197201460301</v>
      </c>
      <c r="DT103" s="33">
        <f>IF(условия!$Q$158=0,0,IF(DT25&lt;0,0,DT25/условия!$Q$158)*SUMIFS(условия!$160:$160,условия!$8:$8,"&lt;="&amp;DT$9,условия!$9:$9,"&gt;="&amp;DT$9))</f>
        <v>628.97315046210656</v>
      </c>
      <c r="DU103" s="33">
        <f>IF(условия!$Q$158=0,0,IF(DU25&lt;0,0,DU25/условия!$Q$158)*SUMIFS(условия!$160:$160,условия!$8:$8,"&lt;="&amp;DU$9,условия!$9:$9,"&gt;="&amp;DU$9))</f>
        <v>1320.112306757027</v>
      </c>
      <c r="DV103" s="33">
        <f>IF(условия!$Q$158=0,0,IF(DV25&lt;0,0,DV25/условия!$Q$158)*SUMIFS(условия!$160:$160,условия!$8:$8,"&lt;="&amp;DV$9,условия!$9:$9,"&gt;="&amp;DV$9))</f>
        <v>1188.7895268438865</v>
      </c>
      <c r="DW103" s="33">
        <f>IF(условия!$Q$158=0,0,IF(DW25&lt;0,0,DW25/условия!$Q$158)*SUMIFS(условия!$160:$160,условия!$8:$8,"&lt;="&amp;DW$9,условия!$9:$9,"&gt;="&amp;DW$9))</f>
        <v>783.4076156387149</v>
      </c>
      <c r="DX103" s="33">
        <f>IF(условия!$Q$158=0,0,IF(DX25&lt;0,0,DX25/условия!$Q$158)*SUMIFS(условия!$160:$160,условия!$8:$8,"&lt;="&amp;DX$9,условия!$9:$9,"&gt;="&amp;DX$9))</f>
        <v>10.1945141910894</v>
      </c>
      <c r="DY103" s="33">
        <f>IF(условия!$Q$158=0,0,IF(DY25&lt;0,0,DY25/условия!$Q$158)*SUMIFS(условия!$160:$160,условия!$8:$8,"&lt;="&amp;DY$9,условия!$9:$9,"&gt;="&amp;DY$9))</f>
        <v>1216.5994192440842</v>
      </c>
      <c r="DZ103" s="33">
        <f>IF(условия!$Q$158=0,0,IF(DZ25&lt;0,0,DZ25/условия!$Q$158)*SUMIFS(условия!$160:$160,условия!$8:$8,"&lt;="&amp;DZ$9,условия!$9:$9,"&gt;="&amp;DZ$9))</f>
        <v>15.381803550223157</v>
      </c>
      <c r="EA103" s="33">
        <f>IF(условия!$Q$158=0,0,IF(EA25&lt;0,0,EA25/условия!$Q$158)*SUMIFS(условия!$160:$160,условия!$8:$8,"&lt;="&amp;EA$9,условия!$9:$9,"&gt;="&amp;EA$9))</f>
        <v>1298.7315007637046</v>
      </c>
      <c r="EB103" s="33">
        <f>IF(условия!$Q$158=0,0,IF(EB25&lt;0,0,EB25/условия!$Q$158)*SUMIFS(условия!$160:$160,условия!$8:$8,"&lt;="&amp;EB$9,условия!$9:$9,"&gt;="&amp;EB$9))</f>
        <v>0</v>
      </c>
      <c r="EC103" s="33">
        <f>IF(условия!$Q$158=0,0,IF(EC25&lt;0,0,EC25/условия!$Q$158)*SUMIFS(условия!$160:$160,условия!$8:$8,"&lt;="&amp;EC$9,условия!$9:$9,"&gt;="&amp;EC$9))</f>
        <v>389.73118563438811</v>
      </c>
      <c r="ED103" s="33">
        <f>IF(условия!$Q$158=0,0,IF(ED25&lt;0,0,ED25/условия!$Q$158)*SUMIFS(условия!$160:$160,условия!$8:$8,"&lt;="&amp;ED$9,условия!$9:$9,"&gt;="&amp;ED$9))</f>
        <v>397.00770050092387</v>
      </c>
      <c r="EE103" s="33">
        <f>IF(условия!$Q$158=0,0,IF(EE25&lt;0,0,EE25/условия!$Q$158)*SUMIFS(условия!$160:$160,условия!$8:$8,"&lt;="&amp;EE$9,условия!$9:$9,"&gt;="&amp;EE$9))</f>
        <v>591.17092241408898</v>
      </c>
      <c r="EF103" s="33">
        <f>IF(условия!$Q$158=0,0,IF(EF25&lt;0,0,EF25/условия!$Q$158)*SUMIFS(условия!$160:$160,условия!$8:$8,"&lt;="&amp;EF$9,условия!$9:$9,"&gt;="&amp;EF$9))</f>
        <v>957.23495128738773</v>
      </c>
      <c r="EG103" s="33">
        <f>IF(условия!$Q$158=0,0,IF(EG25&lt;0,0,EG25/условия!$Q$158)*SUMIFS(условия!$160:$160,условия!$8:$8,"&lt;="&amp;EG$9,условия!$9:$9,"&gt;="&amp;EG$9))</f>
        <v>1011.3413605039372</v>
      </c>
      <c r="EH103" s="33">
        <f>IF(условия!$Q$158=0,0,IF(EH25&lt;0,0,EH25/условия!$Q$158)*SUMIFS(условия!$160:$160,условия!$8:$8,"&lt;="&amp;EH$9,условия!$9:$9,"&gt;="&amp;EH$9))</f>
        <v>1522.6494914329853</v>
      </c>
      <c r="EI103" s="33">
        <f>IF(условия!$Q$158=0,0,IF(EI25&lt;0,0,EI25/условия!$Q$158)*SUMIFS(условия!$160:$160,условия!$8:$8,"&lt;="&amp;EI$9,условия!$9:$9,"&gt;="&amp;EI$9))</f>
        <v>469.26962247444203</v>
      </c>
      <c r="EJ103" s="3"/>
      <c r="EK103" s="3"/>
    </row>
    <row r="104" spans="1:14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</row>
    <row r="105" spans="1:141" x14ac:dyDescent="0.25">
      <c r="A105" s="3"/>
      <c r="B105" s="3"/>
      <c r="C105" s="3"/>
      <c r="D105" s="3"/>
      <c r="E105" s="3"/>
      <c r="F105" s="10" t="str">
        <f>KPI!$F$107</f>
        <v>ФОТ топ-менеджеров</v>
      </c>
      <c r="G105" s="3"/>
      <c r="H105" s="3"/>
      <c r="I105" s="3"/>
      <c r="J105" s="5" t="str">
        <f>IF($F105="","",INDEX(KPI!$I$11:$I$275,SUMIFS(KPI!$E$11:$E$275,KPI!$F$11:$F$275,$F105)))</f>
        <v>тыс.руб.</v>
      </c>
      <c r="K105" s="3"/>
      <c r="L105" s="3"/>
      <c r="M105" s="3"/>
      <c r="N105" s="3"/>
      <c r="O105" s="3"/>
      <c r="P105" s="3"/>
      <c r="Q105" s="12">
        <f>SUM(S105:EJ105)</f>
        <v>150246.83559220203</v>
      </c>
      <c r="R105" s="3"/>
      <c r="S105" s="55"/>
      <c r="T105" s="33">
        <f>SUMIFS(условия!$162:$162,условия!$8:$8,"&lt;="&amp;T$9,условия!$9:$9,"&gt;="&amp;T$9)*SUMIFS(условия!$164:$164,условия!$8:$8,"&lt;="&amp;T$9,условия!$9:$9,"&gt;="&amp;T$9)</f>
        <v>400</v>
      </c>
      <c r="U105" s="33">
        <f>SUMIFS(условия!$162:$162,условия!$8:$8,"&lt;="&amp;U$9,условия!$9:$9,"&gt;="&amp;U$9)*SUMIFS(условия!$164:$164,условия!$8:$8,"&lt;="&amp;U$9,условия!$9:$9,"&gt;="&amp;U$9)</f>
        <v>400</v>
      </c>
      <c r="V105" s="33">
        <f>SUMIFS(условия!$162:$162,условия!$8:$8,"&lt;="&amp;V$9,условия!$9:$9,"&gt;="&amp;V$9)*SUMIFS(условия!$164:$164,условия!$8:$8,"&lt;="&amp;V$9,условия!$9:$9,"&gt;="&amp;V$9)</f>
        <v>400</v>
      </c>
      <c r="W105" s="33">
        <f>SUMIFS(условия!$162:$162,условия!$8:$8,"&lt;="&amp;W$9,условия!$9:$9,"&gt;="&amp;W$9)*SUMIFS(условия!$164:$164,условия!$8:$8,"&lt;="&amp;W$9,условия!$9:$9,"&gt;="&amp;W$9)</f>
        <v>400</v>
      </c>
      <c r="X105" s="33">
        <f>SUMIFS(условия!$162:$162,условия!$8:$8,"&lt;="&amp;X$9,условия!$9:$9,"&gt;="&amp;X$9)*SUMIFS(условия!$164:$164,условия!$8:$8,"&lt;="&amp;X$9,условия!$9:$9,"&gt;="&amp;X$9)</f>
        <v>400</v>
      </c>
      <c r="Y105" s="33">
        <f>SUMIFS(условия!$162:$162,условия!$8:$8,"&lt;="&amp;Y$9,условия!$9:$9,"&gt;="&amp;Y$9)*SUMIFS(условия!$164:$164,условия!$8:$8,"&lt;="&amp;Y$9,условия!$9:$9,"&gt;="&amp;Y$9)</f>
        <v>400</v>
      </c>
      <c r="Z105" s="33">
        <f>SUMIFS(условия!$162:$162,условия!$8:$8,"&lt;="&amp;Z$9,условия!$9:$9,"&gt;="&amp;Z$9)*SUMIFS(условия!$164:$164,условия!$8:$8,"&lt;="&amp;Z$9,условия!$9:$9,"&gt;="&amp;Z$9)</f>
        <v>400</v>
      </c>
      <c r="AA105" s="33">
        <f>SUMIFS(условия!$162:$162,условия!$8:$8,"&lt;="&amp;AA$9,условия!$9:$9,"&gt;="&amp;AA$9)*SUMIFS(условия!$164:$164,условия!$8:$8,"&lt;="&amp;AA$9,условия!$9:$9,"&gt;="&amp;AA$9)</f>
        <v>400</v>
      </c>
      <c r="AB105" s="33">
        <f>SUMIFS(условия!$162:$162,условия!$8:$8,"&lt;="&amp;AB$9,условия!$9:$9,"&gt;="&amp;AB$9)*SUMIFS(условия!$164:$164,условия!$8:$8,"&lt;="&amp;AB$9,условия!$9:$9,"&gt;="&amp;AB$9)</f>
        <v>400</v>
      </c>
      <c r="AC105" s="33">
        <f>SUMIFS(условия!$162:$162,условия!$8:$8,"&lt;="&amp;AC$9,условия!$9:$9,"&gt;="&amp;AC$9)*SUMIFS(условия!$164:$164,условия!$8:$8,"&lt;="&amp;AC$9,условия!$9:$9,"&gt;="&amp;AC$9)</f>
        <v>400</v>
      </c>
      <c r="AD105" s="33">
        <f>SUMIFS(условия!$162:$162,условия!$8:$8,"&lt;="&amp;AD$9,условия!$9:$9,"&gt;="&amp;AD$9)*SUMIFS(условия!$164:$164,условия!$8:$8,"&lt;="&amp;AD$9,условия!$9:$9,"&gt;="&amp;AD$9)</f>
        <v>400</v>
      </c>
      <c r="AE105" s="33">
        <f>SUMIFS(условия!$162:$162,условия!$8:$8,"&lt;="&amp;AE$9,условия!$9:$9,"&gt;="&amp;AE$9)*SUMIFS(условия!$164:$164,условия!$8:$8,"&lt;="&amp;AE$9,условия!$9:$9,"&gt;="&amp;AE$9)</f>
        <v>400</v>
      </c>
      <c r="AF105" s="33">
        <f>SUMIFS(условия!$162:$162,условия!$8:$8,"&lt;="&amp;AF$9,условия!$9:$9,"&gt;="&amp;AF$9)*SUMIFS(условия!$164:$164,условия!$8:$8,"&lt;="&amp;AF$9,условия!$9:$9,"&gt;="&amp;AF$9)</f>
        <v>1050</v>
      </c>
      <c r="AG105" s="33">
        <f>SUMIFS(условия!$162:$162,условия!$8:$8,"&lt;="&amp;AG$9,условия!$9:$9,"&gt;="&amp;AG$9)*SUMIFS(условия!$164:$164,условия!$8:$8,"&lt;="&amp;AG$9,условия!$9:$9,"&gt;="&amp;AG$9)</f>
        <v>1050</v>
      </c>
      <c r="AH105" s="33">
        <f>SUMIFS(условия!$162:$162,условия!$8:$8,"&lt;="&amp;AH$9,условия!$9:$9,"&gt;="&amp;AH$9)*SUMIFS(условия!$164:$164,условия!$8:$8,"&lt;="&amp;AH$9,условия!$9:$9,"&gt;="&amp;AH$9)</f>
        <v>1050</v>
      </c>
      <c r="AI105" s="33">
        <f>SUMIFS(условия!$162:$162,условия!$8:$8,"&lt;="&amp;AI$9,условия!$9:$9,"&gt;="&amp;AI$9)*SUMIFS(условия!$164:$164,условия!$8:$8,"&lt;="&amp;AI$9,условия!$9:$9,"&gt;="&amp;AI$9)</f>
        <v>1050</v>
      </c>
      <c r="AJ105" s="33">
        <f>SUMIFS(условия!$162:$162,условия!$8:$8,"&lt;="&amp;AJ$9,условия!$9:$9,"&gt;="&amp;AJ$9)*SUMIFS(условия!$164:$164,условия!$8:$8,"&lt;="&amp;AJ$9,условия!$9:$9,"&gt;="&amp;AJ$9)</f>
        <v>1050</v>
      </c>
      <c r="AK105" s="33">
        <f>SUMIFS(условия!$162:$162,условия!$8:$8,"&lt;="&amp;AK$9,условия!$9:$9,"&gt;="&amp;AK$9)*SUMIFS(условия!$164:$164,условия!$8:$8,"&lt;="&amp;AK$9,условия!$9:$9,"&gt;="&amp;AK$9)</f>
        <v>1050</v>
      </c>
      <c r="AL105" s="33">
        <f>SUMIFS(условия!$162:$162,условия!$8:$8,"&lt;="&amp;AL$9,условия!$9:$9,"&gt;="&amp;AL$9)*SUMIFS(условия!$164:$164,условия!$8:$8,"&lt;="&amp;AL$9,условия!$9:$9,"&gt;="&amp;AL$9)</f>
        <v>1050</v>
      </c>
      <c r="AM105" s="33">
        <f>SUMIFS(условия!$162:$162,условия!$8:$8,"&lt;="&amp;AM$9,условия!$9:$9,"&gt;="&amp;AM$9)*SUMIFS(условия!$164:$164,условия!$8:$8,"&lt;="&amp;AM$9,условия!$9:$9,"&gt;="&amp;AM$9)</f>
        <v>1050</v>
      </c>
      <c r="AN105" s="33">
        <f>SUMIFS(условия!$162:$162,условия!$8:$8,"&lt;="&amp;AN$9,условия!$9:$9,"&gt;="&amp;AN$9)*SUMIFS(условия!$164:$164,условия!$8:$8,"&lt;="&amp;AN$9,условия!$9:$9,"&gt;="&amp;AN$9)</f>
        <v>1050</v>
      </c>
      <c r="AO105" s="33">
        <f>SUMIFS(условия!$162:$162,условия!$8:$8,"&lt;="&amp;AO$9,условия!$9:$9,"&gt;="&amp;AO$9)*SUMIFS(условия!$164:$164,условия!$8:$8,"&lt;="&amp;AO$9,условия!$9:$9,"&gt;="&amp;AO$9)</f>
        <v>1050</v>
      </c>
      <c r="AP105" s="33">
        <f>SUMIFS(условия!$162:$162,условия!$8:$8,"&lt;="&amp;AP$9,условия!$9:$9,"&gt;="&amp;AP$9)*SUMIFS(условия!$164:$164,условия!$8:$8,"&lt;="&amp;AP$9,условия!$9:$9,"&gt;="&amp;AP$9)</f>
        <v>1050</v>
      </c>
      <c r="AQ105" s="33">
        <f>SUMIFS(условия!$162:$162,условия!$8:$8,"&lt;="&amp;AQ$9,условия!$9:$9,"&gt;="&amp;AQ$9)*SUMIFS(условия!$164:$164,условия!$8:$8,"&lt;="&amp;AQ$9,условия!$9:$9,"&gt;="&amp;AQ$9)</f>
        <v>1050</v>
      </c>
      <c r="AR105" s="33">
        <f>SUMIFS(условия!$162:$162,условия!$8:$8,"&lt;="&amp;AR$9,условия!$9:$9,"&gt;="&amp;AR$9)*SUMIFS(условия!$164:$164,условия!$8:$8,"&lt;="&amp;AR$9,условия!$9:$9,"&gt;="&amp;AR$9)</f>
        <v>1123.5</v>
      </c>
      <c r="AS105" s="33">
        <f>SUMIFS(условия!$162:$162,условия!$8:$8,"&lt;="&amp;AS$9,условия!$9:$9,"&gt;="&amp;AS$9)*SUMIFS(условия!$164:$164,условия!$8:$8,"&lt;="&amp;AS$9,условия!$9:$9,"&gt;="&amp;AS$9)</f>
        <v>1123.5</v>
      </c>
      <c r="AT105" s="33">
        <f>SUMIFS(условия!$162:$162,условия!$8:$8,"&lt;="&amp;AT$9,условия!$9:$9,"&gt;="&amp;AT$9)*SUMIFS(условия!$164:$164,условия!$8:$8,"&lt;="&amp;AT$9,условия!$9:$9,"&gt;="&amp;AT$9)</f>
        <v>1123.5</v>
      </c>
      <c r="AU105" s="33">
        <f>SUMIFS(условия!$162:$162,условия!$8:$8,"&lt;="&amp;AU$9,условия!$9:$9,"&gt;="&amp;AU$9)*SUMIFS(условия!$164:$164,условия!$8:$8,"&lt;="&amp;AU$9,условия!$9:$9,"&gt;="&amp;AU$9)</f>
        <v>1123.5</v>
      </c>
      <c r="AV105" s="33">
        <f>SUMIFS(условия!$162:$162,условия!$8:$8,"&lt;="&amp;AV$9,условия!$9:$9,"&gt;="&amp;AV$9)*SUMIFS(условия!$164:$164,условия!$8:$8,"&lt;="&amp;AV$9,условия!$9:$9,"&gt;="&amp;AV$9)</f>
        <v>1123.5</v>
      </c>
      <c r="AW105" s="33">
        <f>SUMIFS(условия!$162:$162,условия!$8:$8,"&lt;="&amp;AW$9,условия!$9:$9,"&gt;="&amp;AW$9)*SUMIFS(условия!$164:$164,условия!$8:$8,"&lt;="&amp;AW$9,условия!$9:$9,"&gt;="&amp;AW$9)</f>
        <v>1123.5</v>
      </c>
      <c r="AX105" s="33">
        <f>SUMIFS(условия!$162:$162,условия!$8:$8,"&lt;="&amp;AX$9,условия!$9:$9,"&gt;="&amp;AX$9)*SUMIFS(условия!$164:$164,условия!$8:$8,"&lt;="&amp;AX$9,условия!$9:$9,"&gt;="&amp;AX$9)</f>
        <v>1123.5</v>
      </c>
      <c r="AY105" s="33">
        <f>SUMIFS(условия!$162:$162,условия!$8:$8,"&lt;="&amp;AY$9,условия!$9:$9,"&gt;="&amp;AY$9)*SUMIFS(условия!$164:$164,условия!$8:$8,"&lt;="&amp;AY$9,условия!$9:$9,"&gt;="&amp;AY$9)</f>
        <v>1123.5</v>
      </c>
      <c r="AZ105" s="33">
        <f>SUMIFS(условия!$162:$162,условия!$8:$8,"&lt;="&amp;AZ$9,условия!$9:$9,"&gt;="&amp;AZ$9)*SUMIFS(условия!$164:$164,условия!$8:$8,"&lt;="&amp;AZ$9,условия!$9:$9,"&gt;="&amp;AZ$9)</f>
        <v>1123.5</v>
      </c>
      <c r="BA105" s="33">
        <f>SUMIFS(условия!$162:$162,условия!$8:$8,"&lt;="&amp;BA$9,условия!$9:$9,"&gt;="&amp;BA$9)*SUMIFS(условия!$164:$164,условия!$8:$8,"&lt;="&amp;BA$9,условия!$9:$9,"&gt;="&amp;BA$9)</f>
        <v>1123.5</v>
      </c>
      <c r="BB105" s="33">
        <f>SUMIFS(условия!$162:$162,условия!$8:$8,"&lt;="&amp;BB$9,условия!$9:$9,"&gt;="&amp;BB$9)*SUMIFS(условия!$164:$164,условия!$8:$8,"&lt;="&amp;BB$9,условия!$9:$9,"&gt;="&amp;BB$9)</f>
        <v>1123.5</v>
      </c>
      <c r="BC105" s="33">
        <f>SUMIFS(условия!$162:$162,условия!$8:$8,"&lt;="&amp;BC$9,условия!$9:$9,"&gt;="&amp;BC$9)*SUMIFS(условия!$164:$164,условия!$8:$8,"&lt;="&amp;BC$9,условия!$9:$9,"&gt;="&amp;BC$9)</f>
        <v>1123.5</v>
      </c>
      <c r="BD105" s="33">
        <f>SUMIFS(условия!$162:$162,условия!$8:$8,"&lt;="&amp;BD$9,условия!$9:$9,"&gt;="&amp;BD$9)*SUMIFS(условия!$164:$164,условия!$8:$8,"&lt;="&amp;BD$9,условия!$9:$9,"&gt;="&amp;BD$9)</f>
        <v>1213.3800000000001</v>
      </c>
      <c r="BE105" s="33">
        <f>SUMIFS(условия!$162:$162,условия!$8:$8,"&lt;="&amp;BE$9,условия!$9:$9,"&gt;="&amp;BE$9)*SUMIFS(условия!$164:$164,условия!$8:$8,"&lt;="&amp;BE$9,условия!$9:$9,"&gt;="&amp;BE$9)</f>
        <v>1213.3800000000001</v>
      </c>
      <c r="BF105" s="33">
        <f>SUMIFS(условия!$162:$162,условия!$8:$8,"&lt;="&amp;BF$9,условия!$9:$9,"&gt;="&amp;BF$9)*SUMIFS(условия!$164:$164,условия!$8:$8,"&lt;="&amp;BF$9,условия!$9:$9,"&gt;="&amp;BF$9)</f>
        <v>1213.3800000000001</v>
      </c>
      <c r="BG105" s="33">
        <f>SUMIFS(условия!$162:$162,условия!$8:$8,"&lt;="&amp;BG$9,условия!$9:$9,"&gt;="&amp;BG$9)*SUMIFS(условия!$164:$164,условия!$8:$8,"&lt;="&amp;BG$9,условия!$9:$9,"&gt;="&amp;BG$9)</f>
        <v>1213.3800000000001</v>
      </c>
      <c r="BH105" s="33">
        <f>SUMIFS(условия!$162:$162,условия!$8:$8,"&lt;="&amp;BH$9,условия!$9:$9,"&gt;="&amp;BH$9)*SUMIFS(условия!$164:$164,условия!$8:$8,"&lt;="&amp;BH$9,условия!$9:$9,"&gt;="&amp;BH$9)</f>
        <v>1213.3800000000001</v>
      </c>
      <c r="BI105" s="33">
        <f>SUMIFS(условия!$162:$162,условия!$8:$8,"&lt;="&amp;BI$9,условия!$9:$9,"&gt;="&amp;BI$9)*SUMIFS(условия!$164:$164,условия!$8:$8,"&lt;="&amp;BI$9,условия!$9:$9,"&gt;="&amp;BI$9)</f>
        <v>1213.3800000000001</v>
      </c>
      <c r="BJ105" s="33">
        <f>SUMIFS(условия!$162:$162,условия!$8:$8,"&lt;="&amp;BJ$9,условия!$9:$9,"&gt;="&amp;BJ$9)*SUMIFS(условия!$164:$164,условия!$8:$8,"&lt;="&amp;BJ$9,условия!$9:$9,"&gt;="&amp;BJ$9)</f>
        <v>1213.3800000000001</v>
      </c>
      <c r="BK105" s="33">
        <f>SUMIFS(условия!$162:$162,условия!$8:$8,"&lt;="&amp;BK$9,условия!$9:$9,"&gt;="&amp;BK$9)*SUMIFS(условия!$164:$164,условия!$8:$8,"&lt;="&amp;BK$9,условия!$9:$9,"&gt;="&amp;BK$9)</f>
        <v>1213.3800000000001</v>
      </c>
      <c r="BL105" s="33">
        <f>SUMIFS(условия!$162:$162,условия!$8:$8,"&lt;="&amp;BL$9,условия!$9:$9,"&gt;="&amp;BL$9)*SUMIFS(условия!$164:$164,условия!$8:$8,"&lt;="&amp;BL$9,условия!$9:$9,"&gt;="&amp;BL$9)</f>
        <v>1213.3800000000001</v>
      </c>
      <c r="BM105" s="33">
        <f>SUMIFS(условия!$162:$162,условия!$8:$8,"&lt;="&amp;BM$9,условия!$9:$9,"&gt;="&amp;BM$9)*SUMIFS(условия!$164:$164,условия!$8:$8,"&lt;="&amp;BM$9,условия!$9:$9,"&gt;="&amp;BM$9)</f>
        <v>1213.3800000000001</v>
      </c>
      <c r="BN105" s="33">
        <f>SUMIFS(условия!$162:$162,условия!$8:$8,"&lt;="&amp;BN$9,условия!$9:$9,"&gt;="&amp;BN$9)*SUMIFS(условия!$164:$164,условия!$8:$8,"&lt;="&amp;BN$9,условия!$9:$9,"&gt;="&amp;BN$9)</f>
        <v>1213.3800000000001</v>
      </c>
      <c r="BO105" s="33">
        <f>SUMIFS(условия!$162:$162,условия!$8:$8,"&lt;="&amp;BO$9,условия!$9:$9,"&gt;="&amp;BO$9)*SUMIFS(условия!$164:$164,условия!$8:$8,"&lt;="&amp;BO$9,условия!$9:$9,"&gt;="&amp;BO$9)</f>
        <v>1213.3800000000001</v>
      </c>
      <c r="BP105" s="33">
        <f>SUMIFS(условия!$162:$162,условия!$8:$8,"&lt;="&amp;BP$9,условия!$9:$9,"&gt;="&amp;BP$9)*SUMIFS(условия!$164:$164,условия!$8:$8,"&lt;="&amp;BP$9,условия!$9:$9,"&gt;="&amp;BP$9)</f>
        <v>1298.3166000000003</v>
      </c>
      <c r="BQ105" s="33">
        <f>SUMIFS(условия!$162:$162,условия!$8:$8,"&lt;="&amp;BQ$9,условия!$9:$9,"&gt;="&amp;BQ$9)*SUMIFS(условия!$164:$164,условия!$8:$8,"&lt;="&amp;BQ$9,условия!$9:$9,"&gt;="&amp;BQ$9)</f>
        <v>1298.3166000000003</v>
      </c>
      <c r="BR105" s="33">
        <f>SUMIFS(условия!$162:$162,условия!$8:$8,"&lt;="&amp;BR$9,условия!$9:$9,"&gt;="&amp;BR$9)*SUMIFS(условия!$164:$164,условия!$8:$8,"&lt;="&amp;BR$9,условия!$9:$9,"&gt;="&amp;BR$9)</f>
        <v>1298.3166000000003</v>
      </c>
      <c r="BS105" s="33">
        <f>SUMIFS(условия!$162:$162,условия!$8:$8,"&lt;="&amp;BS$9,условия!$9:$9,"&gt;="&amp;BS$9)*SUMIFS(условия!$164:$164,условия!$8:$8,"&lt;="&amp;BS$9,условия!$9:$9,"&gt;="&amp;BS$9)</f>
        <v>1298.3166000000003</v>
      </c>
      <c r="BT105" s="33">
        <f>SUMIFS(условия!$162:$162,условия!$8:$8,"&lt;="&amp;BT$9,условия!$9:$9,"&gt;="&amp;BT$9)*SUMIFS(условия!$164:$164,условия!$8:$8,"&lt;="&amp;BT$9,условия!$9:$9,"&gt;="&amp;BT$9)</f>
        <v>1298.3166000000003</v>
      </c>
      <c r="BU105" s="33">
        <f>SUMIFS(условия!$162:$162,условия!$8:$8,"&lt;="&amp;BU$9,условия!$9:$9,"&gt;="&amp;BU$9)*SUMIFS(условия!$164:$164,условия!$8:$8,"&lt;="&amp;BU$9,условия!$9:$9,"&gt;="&amp;BU$9)</f>
        <v>1298.3166000000003</v>
      </c>
      <c r="BV105" s="33">
        <f>SUMIFS(условия!$162:$162,условия!$8:$8,"&lt;="&amp;BV$9,условия!$9:$9,"&gt;="&amp;BV$9)*SUMIFS(условия!$164:$164,условия!$8:$8,"&lt;="&amp;BV$9,условия!$9:$9,"&gt;="&amp;BV$9)</f>
        <v>1298.3166000000003</v>
      </c>
      <c r="BW105" s="33">
        <f>SUMIFS(условия!$162:$162,условия!$8:$8,"&lt;="&amp;BW$9,условия!$9:$9,"&gt;="&amp;BW$9)*SUMIFS(условия!$164:$164,условия!$8:$8,"&lt;="&amp;BW$9,условия!$9:$9,"&gt;="&amp;BW$9)</f>
        <v>1298.3166000000003</v>
      </c>
      <c r="BX105" s="33">
        <f>SUMIFS(условия!$162:$162,условия!$8:$8,"&lt;="&amp;BX$9,условия!$9:$9,"&gt;="&amp;BX$9)*SUMIFS(условия!$164:$164,условия!$8:$8,"&lt;="&amp;BX$9,условия!$9:$9,"&gt;="&amp;BX$9)</f>
        <v>1298.3166000000003</v>
      </c>
      <c r="BY105" s="33">
        <f>SUMIFS(условия!$162:$162,условия!$8:$8,"&lt;="&amp;BY$9,условия!$9:$9,"&gt;="&amp;BY$9)*SUMIFS(условия!$164:$164,условия!$8:$8,"&lt;="&amp;BY$9,условия!$9:$9,"&gt;="&amp;BY$9)</f>
        <v>1298.3166000000003</v>
      </c>
      <c r="BZ105" s="33">
        <f>SUMIFS(условия!$162:$162,условия!$8:$8,"&lt;="&amp;BZ$9,условия!$9:$9,"&gt;="&amp;BZ$9)*SUMIFS(условия!$164:$164,условия!$8:$8,"&lt;="&amp;BZ$9,условия!$9:$9,"&gt;="&amp;BZ$9)</f>
        <v>1298.3166000000003</v>
      </c>
      <c r="CA105" s="33">
        <f>SUMIFS(условия!$162:$162,условия!$8:$8,"&lt;="&amp;CA$9,условия!$9:$9,"&gt;="&amp;CA$9)*SUMIFS(условия!$164:$164,условия!$8:$8,"&lt;="&amp;CA$9,условия!$9:$9,"&gt;="&amp;CA$9)</f>
        <v>1298.3166000000003</v>
      </c>
      <c r="CB105" s="33">
        <f>SUMIFS(условия!$162:$162,условия!$8:$8,"&lt;="&amp;CB$9,условия!$9:$9,"&gt;="&amp;CB$9)*SUMIFS(условия!$164:$164,условия!$8:$8,"&lt;="&amp;CB$9,условия!$9:$9,"&gt;="&amp;CB$9)</f>
        <v>1376.2155960000005</v>
      </c>
      <c r="CC105" s="33">
        <f>SUMIFS(условия!$162:$162,условия!$8:$8,"&lt;="&amp;CC$9,условия!$9:$9,"&gt;="&amp;CC$9)*SUMIFS(условия!$164:$164,условия!$8:$8,"&lt;="&amp;CC$9,условия!$9:$9,"&gt;="&amp;CC$9)</f>
        <v>1376.2155960000005</v>
      </c>
      <c r="CD105" s="33">
        <f>SUMIFS(условия!$162:$162,условия!$8:$8,"&lt;="&amp;CD$9,условия!$9:$9,"&gt;="&amp;CD$9)*SUMIFS(условия!$164:$164,условия!$8:$8,"&lt;="&amp;CD$9,условия!$9:$9,"&gt;="&amp;CD$9)</f>
        <v>1376.2155960000005</v>
      </c>
      <c r="CE105" s="33">
        <f>SUMIFS(условия!$162:$162,условия!$8:$8,"&lt;="&amp;CE$9,условия!$9:$9,"&gt;="&amp;CE$9)*SUMIFS(условия!$164:$164,условия!$8:$8,"&lt;="&amp;CE$9,условия!$9:$9,"&gt;="&amp;CE$9)</f>
        <v>1376.2155960000005</v>
      </c>
      <c r="CF105" s="33">
        <f>SUMIFS(условия!$162:$162,условия!$8:$8,"&lt;="&amp;CF$9,условия!$9:$9,"&gt;="&amp;CF$9)*SUMIFS(условия!$164:$164,условия!$8:$8,"&lt;="&amp;CF$9,условия!$9:$9,"&gt;="&amp;CF$9)</f>
        <v>1376.2155960000005</v>
      </c>
      <c r="CG105" s="33">
        <f>SUMIFS(условия!$162:$162,условия!$8:$8,"&lt;="&amp;CG$9,условия!$9:$9,"&gt;="&amp;CG$9)*SUMIFS(условия!$164:$164,условия!$8:$8,"&lt;="&amp;CG$9,условия!$9:$9,"&gt;="&amp;CG$9)</f>
        <v>1376.2155960000005</v>
      </c>
      <c r="CH105" s="33">
        <f>SUMIFS(условия!$162:$162,условия!$8:$8,"&lt;="&amp;CH$9,условия!$9:$9,"&gt;="&amp;CH$9)*SUMIFS(условия!$164:$164,условия!$8:$8,"&lt;="&amp;CH$9,условия!$9:$9,"&gt;="&amp;CH$9)</f>
        <v>1376.2155960000005</v>
      </c>
      <c r="CI105" s="33">
        <f>SUMIFS(условия!$162:$162,условия!$8:$8,"&lt;="&amp;CI$9,условия!$9:$9,"&gt;="&amp;CI$9)*SUMIFS(условия!$164:$164,условия!$8:$8,"&lt;="&amp;CI$9,условия!$9:$9,"&gt;="&amp;CI$9)</f>
        <v>1376.2155960000005</v>
      </c>
      <c r="CJ105" s="33">
        <f>SUMIFS(условия!$162:$162,условия!$8:$8,"&lt;="&amp;CJ$9,условия!$9:$9,"&gt;="&amp;CJ$9)*SUMIFS(условия!$164:$164,условия!$8:$8,"&lt;="&amp;CJ$9,условия!$9:$9,"&gt;="&amp;CJ$9)</f>
        <v>1376.2155960000005</v>
      </c>
      <c r="CK105" s="33">
        <f>SUMIFS(условия!$162:$162,условия!$8:$8,"&lt;="&amp;CK$9,условия!$9:$9,"&gt;="&amp;CK$9)*SUMIFS(условия!$164:$164,условия!$8:$8,"&lt;="&amp;CK$9,условия!$9:$9,"&gt;="&amp;CK$9)</f>
        <v>1376.2155960000005</v>
      </c>
      <c r="CL105" s="33">
        <f>SUMIFS(условия!$162:$162,условия!$8:$8,"&lt;="&amp;CL$9,условия!$9:$9,"&gt;="&amp;CL$9)*SUMIFS(условия!$164:$164,условия!$8:$8,"&lt;="&amp;CL$9,условия!$9:$9,"&gt;="&amp;CL$9)</f>
        <v>1376.2155960000005</v>
      </c>
      <c r="CM105" s="33">
        <f>SUMIFS(условия!$162:$162,условия!$8:$8,"&lt;="&amp;CM$9,условия!$9:$9,"&gt;="&amp;CM$9)*SUMIFS(условия!$164:$164,условия!$8:$8,"&lt;="&amp;CM$9,условия!$9:$9,"&gt;="&amp;CM$9)</f>
        <v>1376.2155960000005</v>
      </c>
      <c r="CN105" s="33">
        <f>SUMIFS(условия!$162:$162,условия!$8:$8,"&lt;="&amp;CN$9,условия!$9:$9,"&gt;="&amp;CN$9)*SUMIFS(условия!$164:$164,условия!$8:$8,"&lt;="&amp;CN$9,условия!$9:$9,"&gt;="&amp;CN$9)</f>
        <v>1445.0263758000006</v>
      </c>
      <c r="CO105" s="33">
        <f>SUMIFS(условия!$162:$162,условия!$8:$8,"&lt;="&amp;CO$9,условия!$9:$9,"&gt;="&amp;CO$9)*SUMIFS(условия!$164:$164,условия!$8:$8,"&lt;="&amp;CO$9,условия!$9:$9,"&gt;="&amp;CO$9)</f>
        <v>1445.0263758000006</v>
      </c>
      <c r="CP105" s="33">
        <f>SUMIFS(условия!$162:$162,условия!$8:$8,"&lt;="&amp;CP$9,условия!$9:$9,"&gt;="&amp;CP$9)*SUMIFS(условия!$164:$164,условия!$8:$8,"&lt;="&amp;CP$9,условия!$9:$9,"&gt;="&amp;CP$9)</f>
        <v>1445.0263758000006</v>
      </c>
      <c r="CQ105" s="33">
        <f>SUMIFS(условия!$162:$162,условия!$8:$8,"&lt;="&amp;CQ$9,условия!$9:$9,"&gt;="&amp;CQ$9)*SUMIFS(условия!$164:$164,условия!$8:$8,"&lt;="&amp;CQ$9,условия!$9:$9,"&gt;="&amp;CQ$9)</f>
        <v>1445.0263758000006</v>
      </c>
      <c r="CR105" s="33">
        <f>SUMIFS(условия!$162:$162,условия!$8:$8,"&lt;="&amp;CR$9,условия!$9:$9,"&gt;="&amp;CR$9)*SUMIFS(условия!$164:$164,условия!$8:$8,"&lt;="&amp;CR$9,условия!$9:$9,"&gt;="&amp;CR$9)</f>
        <v>1445.0263758000006</v>
      </c>
      <c r="CS105" s="33">
        <f>SUMIFS(условия!$162:$162,условия!$8:$8,"&lt;="&amp;CS$9,условия!$9:$9,"&gt;="&amp;CS$9)*SUMIFS(условия!$164:$164,условия!$8:$8,"&lt;="&amp;CS$9,условия!$9:$9,"&gt;="&amp;CS$9)</f>
        <v>1445.0263758000006</v>
      </c>
      <c r="CT105" s="33">
        <f>SUMIFS(условия!$162:$162,условия!$8:$8,"&lt;="&amp;CT$9,условия!$9:$9,"&gt;="&amp;CT$9)*SUMIFS(условия!$164:$164,условия!$8:$8,"&lt;="&amp;CT$9,условия!$9:$9,"&gt;="&amp;CT$9)</f>
        <v>1445.0263758000006</v>
      </c>
      <c r="CU105" s="33">
        <f>SUMIFS(условия!$162:$162,условия!$8:$8,"&lt;="&amp;CU$9,условия!$9:$9,"&gt;="&amp;CU$9)*SUMIFS(условия!$164:$164,условия!$8:$8,"&lt;="&amp;CU$9,условия!$9:$9,"&gt;="&amp;CU$9)</f>
        <v>1445.0263758000006</v>
      </c>
      <c r="CV105" s="33">
        <f>SUMIFS(условия!$162:$162,условия!$8:$8,"&lt;="&amp;CV$9,условия!$9:$9,"&gt;="&amp;CV$9)*SUMIFS(условия!$164:$164,условия!$8:$8,"&lt;="&amp;CV$9,условия!$9:$9,"&gt;="&amp;CV$9)</f>
        <v>1445.0263758000006</v>
      </c>
      <c r="CW105" s="33">
        <f>SUMIFS(условия!$162:$162,условия!$8:$8,"&lt;="&amp;CW$9,условия!$9:$9,"&gt;="&amp;CW$9)*SUMIFS(условия!$164:$164,условия!$8:$8,"&lt;="&amp;CW$9,условия!$9:$9,"&gt;="&amp;CW$9)</f>
        <v>1445.0263758000006</v>
      </c>
      <c r="CX105" s="33">
        <f>SUMIFS(условия!$162:$162,условия!$8:$8,"&lt;="&amp;CX$9,условия!$9:$9,"&gt;="&amp;CX$9)*SUMIFS(условия!$164:$164,условия!$8:$8,"&lt;="&amp;CX$9,условия!$9:$9,"&gt;="&amp;CX$9)</f>
        <v>1445.0263758000006</v>
      </c>
      <c r="CY105" s="33">
        <f>SUMIFS(условия!$162:$162,условия!$8:$8,"&lt;="&amp;CY$9,условия!$9:$9,"&gt;="&amp;CY$9)*SUMIFS(условия!$164:$164,условия!$8:$8,"&lt;="&amp;CY$9,условия!$9:$9,"&gt;="&amp;CY$9)</f>
        <v>1445.0263758000006</v>
      </c>
      <c r="CZ105" s="33">
        <f>SUMIFS(условия!$162:$162,условия!$8:$8,"&lt;="&amp;CZ$9,условия!$9:$9,"&gt;="&amp;CZ$9)*SUMIFS(условия!$164:$164,условия!$8:$8,"&lt;="&amp;CZ$9,условия!$9:$9,"&gt;="&amp;CZ$9)</f>
        <v>1502.8274308320008</v>
      </c>
      <c r="DA105" s="33">
        <f>SUMIFS(условия!$162:$162,условия!$8:$8,"&lt;="&amp;DA$9,условия!$9:$9,"&gt;="&amp;DA$9)*SUMIFS(условия!$164:$164,условия!$8:$8,"&lt;="&amp;DA$9,условия!$9:$9,"&gt;="&amp;DA$9)</f>
        <v>1502.8274308320008</v>
      </c>
      <c r="DB105" s="33">
        <f>SUMIFS(условия!$162:$162,условия!$8:$8,"&lt;="&amp;DB$9,условия!$9:$9,"&gt;="&amp;DB$9)*SUMIFS(условия!$164:$164,условия!$8:$8,"&lt;="&amp;DB$9,условия!$9:$9,"&gt;="&amp;DB$9)</f>
        <v>1502.8274308320008</v>
      </c>
      <c r="DC105" s="33">
        <f>SUMIFS(условия!$162:$162,условия!$8:$8,"&lt;="&amp;DC$9,условия!$9:$9,"&gt;="&amp;DC$9)*SUMIFS(условия!$164:$164,условия!$8:$8,"&lt;="&amp;DC$9,условия!$9:$9,"&gt;="&amp;DC$9)</f>
        <v>1502.8274308320008</v>
      </c>
      <c r="DD105" s="33">
        <f>SUMIFS(условия!$162:$162,условия!$8:$8,"&lt;="&amp;DD$9,условия!$9:$9,"&gt;="&amp;DD$9)*SUMIFS(условия!$164:$164,условия!$8:$8,"&lt;="&amp;DD$9,условия!$9:$9,"&gt;="&amp;DD$9)</f>
        <v>1502.8274308320008</v>
      </c>
      <c r="DE105" s="33">
        <f>SUMIFS(условия!$162:$162,условия!$8:$8,"&lt;="&amp;DE$9,условия!$9:$9,"&gt;="&amp;DE$9)*SUMIFS(условия!$164:$164,условия!$8:$8,"&lt;="&amp;DE$9,условия!$9:$9,"&gt;="&amp;DE$9)</f>
        <v>1502.8274308320008</v>
      </c>
      <c r="DF105" s="33">
        <f>SUMIFS(условия!$162:$162,условия!$8:$8,"&lt;="&amp;DF$9,условия!$9:$9,"&gt;="&amp;DF$9)*SUMIFS(условия!$164:$164,условия!$8:$8,"&lt;="&amp;DF$9,условия!$9:$9,"&gt;="&amp;DF$9)</f>
        <v>1502.8274308320008</v>
      </c>
      <c r="DG105" s="33">
        <f>SUMIFS(условия!$162:$162,условия!$8:$8,"&lt;="&amp;DG$9,условия!$9:$9,"&gt;="&amp;DG$9)*SUMIFS(условия!$164:$164,условия!$8:$8,"&lt;="&amp;DG$9,условия!$9:$9,"&gt;="&amp;DG$9)</f>
        <v>1502.8274308320008</v>
      </c>
      <c r="DH105" s="33">
        <f>SUMIFS(условия!$162:$162,условия!$8:$8,"&lt;="&amp;DH$9,условия!$9:$9,"&gt;="&amp;DH$9)*SUMIFS(условия!$164:$164,условия!$8:$8,"&lt;="&amp;DH$9,условия!$9:$9,"&gt;="&amp;DH$9)</f>
        <v>1502.8274308320008</v>
      </c>
      <c r="DI105" s="33">
        <f>SUMIFS(условия!$162:$162,условия!$8:$8,"&lt;="&amp;DI$9,условия!$9:$9,"&gt;="&amp;DI$9)*SUMIFS(условия!$164:$164,условия!$8:$8,"&lt;="&amp;DI$9,условия!$9:$9,"&gt;="&amp;DI$9)</f>
        <v>1502.8274308320008</v>
      </c>
      <c r="DJ105" s="33">
        <f>SUMIFS(условия!$162:$162,условия!$8:$8,"&lt;="&amp;DJ$9,условия!$9:$9,"&gt;="&amp;DJ$9)*SUMIFS(условия!$164:$164,условия!$8:$8,"&lt;="&amp;DJ$9,условия!$9:$9,"&gt;="&amp;DJ$9)</f>
        <v>1502.8274308320008</v>
      </c>
      <c r="DK105" s="33">
        <f>SUMIFS(условия!$162:$162,условия!$8:$8,"&lt;="&amp;DK$9,условия!$9:$9,"&gt;="&amp;DK$9)*SUMIFS(условия!$164:$164,условия!$8:$8,"&lt;="&amp;DK$9,условия!$9:$9,"&gt;="&amp;DK$9)</f>
        <v>1502.8274308320008</v>
      </c>
      <c r="DL105" s="33">
        <f>SUMIFS(условия!$162:$162,условия!$8:$8,"&lt;="&amp;DL$9,условия!$9:$9,"&gt;="&amp;DL$9)*SUMIFS(условия!$164:$164,условия!$8:$8,"&lt;="&amp;DL$9,условия!$9:$9,"&gt;="&amp;DL$9)</f>
        <v>1547.9122537569608</v>
      </c>
      <c r="DM105" s="33">
        <f>SUMIFS(условия!$162:$162,условия!$8:$8,"&lt;="&amp;DM$9,условия!$9:$9,"&gt;="&amp;DM$9)*SUMIFS(условия!$164:$164,условия!$8:$8,"&lt;="&amp;DM$9,условия!$9:$9,"&gt;="&amp;DM$9)</f>
        <v>1547.9122537569608</v>
      </c>
      <c r="DN105" s="33">
        <f>SUMIFS(условия!$162:$162,условия!$8:$8,"&lt;="&amp;DN$9,условия!$9:$9,"&gt;="&amp;DN$9)*SUMIFS(условия!$164:$164,условия!$8:$8,"&lt;="&amp;DN$9,условия!$9:$9,"&gt;="&amp;DN$9)</f>
        <v>1547.9122537569608</v>
      </c>
      <c r="DO105" s="33">
        <f>SUMIFS(условия!$162:$162,условия!$8:$8,"&lt;="&amp;DO$9,условия!$9:$9,"&gt;="&amp;DO$9)*SUMIFS(условия!$164:$164,условия!$8:$8,"&lt;="&amp;DO$9,условия!$9:$9,"&gt;="&amp;DO$9)</f>
        <v>1547.9122537569608</v>
      </c>
      <c r="DP105" s="33">
        <f>SUMIFS(условия!$162:$162,условия!$8:$8,"&lt;="&amp;DP$9,условия!$9:$9,"&gt;="&amp;DP$9)*SUMIFS(условия!$164:$164,условия!$8:$8,"&lt;="&amp;DP$9,условия!$9:$9,"&gt;="&amp;DP$9)</f>
        <v>1547.9122537569608</v>
      </c>
      <c r="DQ105" s="33">
        <f>SUMIFS(условия!$162:$162,условия!$8:$8,"&lt;="&amp;DQ$9,условия!$9:$9,"&gt;="&amp;DQ$9)*SUMIFS(условия!$164:$164,условия!$8:$8,"&lt;="&amp;DQ$9,условия!$9:$9,"&gt;="&amp;DQ$9)</f>
        <v>1547.9122537569608</v>
      </c>
      <c r="DR105" s="33">
        <f>SUMIFS(условия!$162:$162,условия!$8:$8,"&lt;="&amp;DR$9,условия!$9:$9,"&gt;="&amp;DR$9)*SUMIFS(условия!$164:$164,условия!$8:$8,"&lt;="&amp;DR$9,условия!$9:$9,"&gt;="&amp;DR$9)</f>
        <v>1547.9122537569608</v>
      </c>
      <c r="DS105" s="33">
        <f>SUMIFS(условия!$162:$162,условия!$8:$8,"&lt;="&amp;DS$9,условия!$9:$9,"&gt;="&amp;DS$9)*SUMIFS(условия!$164:$164,условия!$8:$8,"&lt;="&amp;DS$9,условия!$9:$9,"&gt;="&amp;DS$9)</f>
        <v>1547.9122537569608</v>
      </c>
      <c r="DT105" s="33">
        <f>SUMIFS(условия!$162:$162,условия!$8:$8,"&lt;="&amp;DT$9,условия!$9:$9,"&gt;="&amp;DT$9)*SUMIFS(условия!$164:$164,условия!$8:$8,"&lt;="&amp;DT$9,условия!$9:$9,"&gt;="&amp;DT$9)</f>
        <v>1547.9122537569608</v>
      </c>
      <c r="DU105" s="33">
        <f>SUMIFS(условия!$162:$162,условия!$8:$8,"&lt;="&amp;DU$9,условия!$9:$9,"&gt;="&amp;DU$9)*SUMIFS(условия!$164:$164,условия!$8:$8,"&lt;="&amp;DU$9,условия!$9:$9,"&gt;="&amp;DU$9)</f>
        <v>1547.9122537569608</v>
      </c>
      <c r="DV105" s="33">
        <f>SUMIFS(условия!$162:$162,условия!$8:$8,"&lt;="&amp;DV$9,условия!$9:$9,"&gt;="&amp;DV$9)*SUMIFS(условия!$164:$164,условия!$8:$8,"&lt;="&amp;DV$9,условия!$9:$9,"&gt;="&amp;DV$9)</f>
        <v>1547.9122537569608</v>
      </c>
      <c r="DW105" s="33">
        <f>SUMIFS(условия!$162:$162,условия!$8:$8,"&lt;="&amp;DW$9,условия!$9:$9,"&gt;="&amp;DW$9)*SUMIFS(условия!$164:$164,условия!$8:$8,"&lt;="&amp;DW$9,условия!$9:$9,"&gt;="&amp;DW$9)</f>
        <v>1547.9122537569608</v>
      </c>
      <c r="DX105" s="33">
        <f>SUMIFS(условия!$162:$162,условия!$8:$8,"&lt;="&amp;DX$9,условия!$9:$9,"&gt;="&amp;DX$9)*SUMIFS(условия!$164:$164,условия!$8:$8,"&lt;="&amp;DX$9,условия!$9:$9,"&gt;="&amp;DX$9)</f>
        <v>1563.3913762945303</v>
      </c>
      <c r="DY105" s="33">
        <f>SUMIFS(условия!$162:$162,условия!$8:$8,"&lt;="&amp;DY$9,условия!$9:$9,"&gt;="&amp;DY$9)*SUMIFS(условия!$164:$164,условия!$8:$8,"&lt;="&amp;DY$9,условия!$9:$9,"&gt;="&amp;DY$9)</f>
        <v>1563.3913762945303</v>
      </c>
      <c r="DZ105" s="33">
        <f>SUMIFS(условия!$162:$162,условия!$8:$8,"&lt;="&amp;DZ$9,условия!$9:$9,"&gt;="&amp;DZ$9)*SUMIFS(условия!$164:$164,условия!$8:$8,"&lt;="&amp;DZ$9,условия!$9:$9,"&gt;="&amp;DZ$9)</f>
        <v>1563.3913762945303</v>
      </c>
      <c r="EA105" s="33">
        <f>SUMIFS(условия!$162:$162,условия!$8:$8,"&lt;="&amp;EA$9,условия!$9:$9,"&gt;="&amp;EA$9)*SUMIFS(условия!$164:$164,условия!$8:$8,"&lt;="&amp;EA$9,условия!$9:$9,"&gt;="&amp;EA$9)</f>
        <v>1563.3913762945303</v>
      </c>
      <c r="EB105" s="33">
        <f>SUMIFS(условия!$162:$162,условия!$8:$8,"&lt;="&amp;EB$9,условия!$9:$9,"&gt;="&amp;EB$9)*SUMIFS(условия!$164:$164,условия!$8:$8,"&lt;="&amp;EB$9,условия!$9:$9,"&gt;="&amp;EB$9)</f>
        <v>1563.3913762945303</v>
      </c>
      <c r="EC105" s="33">
        <f>SUMIFS(условия!$162:$162,условия!$8:$8,"&lt;="&amp;EC$9,условия!$9:$9,"&gt;="&amp;EC$9)*SUMIFS(условия!$164:$164,условия!$8:$8,"&lt;="&amp;EC$9,условия!$9:$9,"&gt;="&amp;EC$9)</f>
        <v>1563.3913762945303</v>
      </c>
      <c r="ED105" s="33">
        <f>SUMIFS(условия!$162:$162,условия!$8:$8,"&lt;="&amp;ED$9,условия!$9:$9,"&gt;="&amp;ED$9)*SUMIFS(условия!$164:$164,условия!$8:$8,"&lt;="&amp;ED$9,условия!$9:$9,"&gt;="&amp;ED$9)</f>
        <v>1563.3913762945303</v>
      </c>
      <c r="EE105" s="33">
        <f>SUMIFS(условия!$162:$162,условия!$8:$8,"&lt;="&amp;EE$9,условия!$9:$9,"&gt;="&amp;EE$9)*SUMIFS(условия!$164:$164,условия!$8:$8,"&lt;="&amp;EE$9,условия!$9:$9,"&gt;="&amp;EE$9)</f>
        <v>1563.3913762945303</v>
      </c>
      <c r="EF105" s="33">
        <f>SUMIFS(условия!$162:$162,условия!$8:$8,"&lt;="&amp;EF$9,условия!$9:$9,"&gt;="&amp;EF$9)*SUMIFS(условия!$164:$164,условия!$8:$8,"&lt;="&amp;EF$9,условия!$9:$9,"&gt;="&amp;EF$9)</f>
        <v>1563.3913762945303</v>
      </c>
      <c r="EG105" s="33">
        <f>SUMIFS(условия!$162:$162,условия!$8:$8,"&lt;="&amp;EG$9,условия!$9:$9,"&gt;="&amp;EG$9)*SUMIFS(условия!$164:$164,условия!$8:$8,"&lt;="&amp;EG$9,условия!$9:$9,"&gt;="&amp;EG$9)</f>
        <v>1563.3913762945303</v>
      </c>
      <c r="EH105" s="33">
        <f>SUMIFS(условия!$162:$162,условия!$8:$8,"&lt;="&amp;EH$9,условия!$9:$9,"&gt;="&amp;EH$9)*SUMIFS(условия!$164:$164,условия!$8:$8,"&lt;="&amp;EH$9,условия!$9:$9,"&gt;="&amp;EH$9)</f>
        <v>1563.3913762945303</v>
      </c>
      <c r="EI105" s="33">
        <f>SUMIFS(условия!$162:$162,условия!$8:$8,"&lt;="&amp;EI$9,условия!$9:$9,"&gt;="&amp;EI$9)*SUMIFS(условия!$164:$164,условия!$8:$8,"&lt;="&amp;EI$9,условия!$9:$9,"&gt;="&amp;EI$9)</f>
        <v>1563.3913762945303</v>
      </c>
      <c r="EJ105" s="3"/>
      <c r="EK105" s="3"/>
    </row>
    <row r="106" spans="1:14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</row>
    <row r="107" spans="1:141" x14ac:dyDescent="0.25">
      <c r="A107" s="3"/>
      <c r="B107" s="3"/>
      <c r="C107" s="3"/>
      <c r="D107" s="3"/>
      <c r="E107" s="3"/>
      <c r="F107" s="10" t="str">
        <f>KPI!$F$110</f>
        <v>ФОТ отдела продаж</v>
      </c>
      <c r="G107" s="3"/>
      <c r="H107" s="3"/>
      <c r="I107" s="3"/>
      <c r="J107" s="5" t="str">
        <f>IF($F107="","",INDEX(KPI!$I$11:$I$275,SUMIFS(KPI!$E$11:$E$275,KPI!$F$11:$F$275,$F107)))</f>
        <v>тыс.руб.</v>
      </c>
      <c r="K107" s="3"/>
      <c r="L107" s="3"/>
      <c r="M107" s="3"/>
      <c r="N107" s="3"/>
      <c r="O107" s="3"/>
      <c r="P107" s="3"/>
      <c r="Q107" s="12">
        <f>SUM(S107:EJ107)</f>
        <v>75797.586880522213</v>
      </c>
      <c r="R107" s="3"/>
      <c r="S107" s="55"/>
      <c r="T107" s="33">
        <f>S107+IF(T1=$Q$53,условия!$Q$166*SUMIFS(условия!$168:$168,условия!$8:$8,"&lt;="&amp;T$9,условия!$9:$9,"&gt;="&amp;T$9),0)+T51*условия!$Q$166*SUMIFS(условия!$168:$168,условия!$8:$8,"&lt;="&amp;T$9,условия!$9:$9,"&gt;="&amp;T$9)</f>
        <v>0</v>
      </c>
      <c r="U107" s="33">
        <f>T107+IF(U1=$Q$53,условия!$Q$166*SUMIFS(условия!$168:$168,условия!$8:$8,"&lt;="&amp;U$9,условия!$9:$9,"&gt;="&amp;U$9),0)+U51*условия!$Q$166*SUMIFS(условия!$168:$168,условия!$8:$8,"&lt;="&amp;U$9,условия!$9:$9,"&gt;="&amp;U$9)</f>
        <v>0</v>
      </c>
      <c r="V107" s="33">
        <f>U107+IF(V1=$Q$53,условия!$Q$166*SUMIFS(условия!$168:$168,условия!$8:$8,"&lt;="&amp;V$9,условия!$9:$9,"&gt;="&amp;V$9),0)+V51*условия!$Q$166*SUMIFS(условия!$168:$168,условия!$8:$8,"&lt;="&amp;V$9,условия!$9:$9,"&gt;="&amp;V$9)</f>
        <v>0</v>
      </c>
      <c r="W107" s="33">
        <f>V107+IF(W1=$Q$53,условия!$Q$166*SUMIFS(условия!$168:$168,условия!$8:$8,"&lt;="&amp;W$9,условия!$9:$9,"&gt;="&amp;W$9),0)+W51*условия!$Q$166*SUMIFS(условия!$168:$168,условия!$8:$8,"&lt;="&amp;W$9,условия!$9:$9,"&gt;="&amp;W$9)</f>
        <v>0</v>
      </c>
      <c r="X107" s="33">
        <f>W107+IF(X1=$Q$53,условия!$Q$166*SUMIFS(условия!$168:$168,условия!$8:$8,"&lt;="&amp;X$9,условия!$9:$9,"&gt;="&amp;X$9),0)+X51*условия!$Q$166*SUMIFS(условия!$168:$168,условия!$8:$8,"&lt;="&amp;X$9,условия!$9:$9,"&gt;="&amp;X$9)</f>
        <v>320</v>
      </c>
      <c r="Y107" s="33">
        <f>X107+IF(Y1=$Q$53,условия!$Q$166*SUMIFS(условия!$168:$168,условия!$8:$8,"&lt;="&amp;Y$9,условия!$9:$9,"&gt;="&amp;Y$9),0)+Y51*условия!$Q$166*SUMIFS(условия!$168:$168,условия!$8:$8,"&lt;="&amp;Y$9,условия!$9:$9,"&gt;="&amp;Y$9)</f>
        <v>320</v>
      </c>
      <c r="Z107" s="33">
        <f>Y107+IF(Z1=$Q$53,условия!$Q$166*SUMIFS(условия!$168:$168,условия!$8:$8,"&lt;="&amp;Z$9,условия!$9:$9,"&gt;="&amp;Z$9),0)+Z51*условия!$Q$166*SUMIFS(условия!$168:$168,условия!$8:$8,"&lt;="&amp;Z$9,условия!$9:$9,"&gt;="&amp;Z$9)</f>
        <v>320</v>
      </c>
      <c r="AA107" s="33">
        <f>Z107+IF(AA1=$Q$53,условия!$Q$166*SUMIFS(условия!$168:$168,условия!$8:$8,"&lt;="&amp;AA$9,условия!$9:$9,"&gt;="&amp;AA$9),0)+AA51*условия!$Q$166*SUMIFS(условия!$168:$168,условия!$8:$8,"&lt;="&amp;AA$9,условия!$9:$9,"&gt;="&amp;AA$9)</f>
        <v>320</v>
      </c>
      <c r="AB107" s="33">
        <f>AA107+IF(AB1=$Q$53,условия!$Q$166*SUMIFS(условия!$168:$168,условия!$8:$8,"&lt;="&amp;AB$9,условия!$9:$9,"&gt;="&amp;AB$9),0)+AB51*условия!$Q$166*SUMIFS(условия!$168:$168,условия!$8:$8,"&lt;="&amp;AB$9,условия!$9:$9,"&gt;="&amp;AB$9)</f>
        <v>320</v>
      </c>
      <c r="AC107" s="33">
        <f>AB107+IF(AC1=$Q$53,условия!$Q$166*SUMIFS(условия!$168:$168,условия!$8:$8,"&lt;="&amp;AC$9,условия!$9:$9,"&gt;="&amp;AC$9),0)+AC51*условия!$Q$166*SUMIFS(условия!$168:$168,условия!$8:$8,"&lt;="&amp;AC$9,условия!$9:$9,"&gt;="&amp;AC$9)</f>
        <v>320</v>
      </c>
      <c r="AD107" s="33">
        <f>AC107+IF(AD1=$Q$53,условия!$Q$166*SUMIFS(условия!$168:$168,условия!$8:$8,"&lt;="&amp;AD$9,условия!$9:$9,"&gt;="&amp;AD$9),0)+AD51*условия!$Q$166*SUMIFS(условия!$168:$168,условия!$8:$8,"&lt;="&amp;AD$9,условия!$9:$9,"&gt;="&amp;AD$9)</f>
        <v>320</v>
      </c>
      <c r="AE107" s="33">
        <f>AD107+IF(AE1=$Q$53,условия!$Q$166*SUMIFS(условия!$168:$168,условия!$8:$8,"&lt;="&amp;AE$9,условия!$9:$9,"&gt;="&amp;AE$9),0)+AE51*условия!$Q$166*SUMIFS(условия!$168:$168,условия!$8:$8,"&lt;="&amp;AE$9,условия!$9:$9,"&gt;="&amp;AE$9)</f>
        <v>320</v>
      </c>
      <c r="AF107" s="33">
        <f>AE107+IF(AF1=$Q$53,условия!$Q$166*SUMIFS(условия!$168:$168,условия!$8:$8,"&lt;="&amp;AF$9,условия!$9:$9,"&gt;="&amp;AF$9),0)+AF51*условия!$Q$166*SUMIFS(условия!$168:$168,условия!$8:$8,"&lt;="&amp;AF$9,условия!$9:$9,"&gt;="&amp;AF$9)</f>
        <v>320</v>
      </c>
      <c r="AG107" s="33">
        <f>AF107+IF(AG1=$Q$53,условия!$Q$166*SUMIFS(условия!$168:$168,условия!$8:$8,"&lt;="&amp;AG$9,условия!$9:$9,"&gt;="&amp;AG$9),0)+AG51*условия!$Q$166*SUMIFS(условия!$168:$168,условия!$8:$8,"&lt;="&amp;AG$9,условия!$9:$9,"&gt;="&amp;AG$9)</f>
        <v>320</v>
      </c>
      <c r="AH107" s="33">
        <f>AG107+IF(AH1=$Q$53,условия!$Q$166*SUMIFS(условия!$168:$168,условия!$8:$8,"&lt;="&amp;AH$9,условия!$9:$9,"&gt;="&amp;AH$9),0)+AH51*условия!$Q$166*SUMIFS(условия!$168:$168,условия!$8:$8,"&lt;="&amp;AH$9,условия!$9:$9,"&gt;="&amp;AH$9)</f>
        <v>320</v>
      </c>
      <c r="AI107" s="33">
        <f>AH107+IF(AI1=$Q$53,условия!$Q$166*SUMIFS(условия!$168:$168,условия!$8:$8,"&lt;="&amp;AI$9,условия!$9:$9,"&gt;="&amp;AI$9),0)+AI51*условия!$Q$166*SUMIFS(условия!$168:$168,условия!$8:$8,"&lt;="&amp;AI$9,условия!$9:$9,"&gt;="&amp;AI$9)</f>
        <v>320</v>
      </c>
      <c r="AJ107" s="33">
        <f>AI107+IF(AJ1=$Q$53,условия!$Q$166*SUMIFS(условия!$168:$168,условия!$8:$8,"&lt;="&amp;AJ$9,условия!$9:$9,"&gt;="&amp;AJ$9),0)+AJ51*условия!$Q$166*SUMIFS(условия!$168:$168,условия!$8:$8,"&lt;="&amp;AJ$9,условия!$9:$9,"&gt;="&amp;AJ$9)</f>
        <v>320</v>
      </c>
      <c r="AK107" s="33">
        <f>AJ107+IF(AK1=$Q$53,условия!$Q$166*SUMIFS(условия!$168:$168,условия!$8:$8,"&lt;="&amp;AK$9,условия!$9:$9,"&gt;="&amp;AK$9),0)+AK51*условия!$Q$166*SUMIFS(условия!$168:$168,условия!$8:$8,"&lt;="&amp;AK$9,условия!$9:$9,"&gt;="&amp;AK$9)</f>
        <v>320</v>
      </c>
      <c r="AL107" s="33">
        <f>AK107+IF(AL1=$Q$53,условия!$Q$166*SUMIFS(условия!$168:$168,условия!$8:$8,"&lt;="&amp;AL$9,условия!$9:$9,"&gt;="&amp;AL$9),0)+AL51*условия!$Q$166*SUMIFS(условия!$168:$168,условия!$8:$8,"&lt;="&amp;AL$9,условия!$9:$9,"&gt;="&amp;AL$9)</f>
        <v>320</v>
      </c>
      <c r="AM107" s="33">
        <f>AL107+IF(AM1=$Q$53,условия!$Q$166*SUMIFS(условия!$168:$168,условия!$8:$8,"&lt;="&amp;AM$9,условия!$9:$9,"&gt;="&amp;AM$9),0)+AM51*условия!$Q$166*SUMIFS(условия!$168:$168,условия!$8:$8,"&lt;="&amp;AM$9,условия!$9:$9,"&gt;="&amp;AM$9)</f>
        <v>320</v>
      </c>
      <c r="AN107" s="33">
        <f>AM107+IF(AN1=$Q$53,условия!$Q$166*SUMIFS(условия!$168:$168,условия!$8:$8,"&lt;="&amp;AN$9,условия!$9:$9,"&gt;="&amp;AN$9),0)+AN51*условия!$Q$166*SUMIFS(условия!$168:$168,условия!$8:$8,"&lt;="&amp;AN$9,условия!$9:$9,"&gt;="&amp;AN$9)</f>
        <v>320</v>
      </c>
      <c r="AO107" s="33">
        <f>AN107+IF(AO1=$Q$53,условия!$Q$166*SUMIFS(условия!$168:$168,условия!$8:$8,"&lt;="&amp;AO$9,условия!$9:$9,"&gt;="&amp;AO$9),0)+AO51*условия!$Q$166*SUMIFS(условия!$168:$168,условия!$8:$8,"&lt;="&amp;AO$9,условия!$9:$9,"&gt;="&amp;AO$9)</f>
        <v>320</v>
      </c>
      <c r="AP107" s="33">
        <f>AO107+IF(AP1=$Q$53,условия!$Q$166*SUMIFS(условия!$168:$168,условия!$8:$8,"&lt;="&amp;AP$9,условия!$9:$9,"&gt;="&amp;AP$9),0)+AP51*условия!$Q$166*SUMIFS(условия!$168:$168,условия!$8:$8,"&lt;="&amp;AP$9,условия!$9:$9,"&gt;="&amp;AP$9)</f>
        <v>320</v>
      </c>
      <c r="AQ107" s="33">
        <f>AP107+IF(AQ1=$Q$53,условия!$Q$166*SUMIFS(условия!$168:$168,условия!$8:$8,"&lt;="&amp;AQ$9,условия!$9:$9,"&gt;="&amp;AQ$9),0)+AQ51*условия!$Q$166*SUMIFS(условия!$168:$168,условия!$8:$8,"&lt;="&amp;AQ$9,условия!$9:$9,"&gt;="&amp;AQ$9)</f>
        <v>320</v>
      </c>
      <c r="AR107" s="33">
        <f>AQ107+IF(AR1=$Q$53,условия!$Q$166*SUMIFS(условия!$168:$168,условия!$8:$8,"&lt;="&amp;AR$9,условия!$9:$9,"&gt;="&amp;AR$9),0)+AR51*условия!$Q$166*SUMIFS(условия!$168:$168,условия!$8:$8,"&lt;="&amp;AR$9,условия!$9:$9,"&gt;="&amp;AR$9)</f>
        <v>320</v>
      </c>
      <c r="AS107" s="33">
        <f>AR107+IF(AS1=$Q$53,условия!$Q$166*SUMIFS(условия!$168:$168,условия!$8:$8,"&lt;="&amp;AS$9,условия!$9:$9,"&gt;="&amp;AS$9),0)+AS51*условия!$Q$166*SUMIFS(условия!$168:$168,условия!$8:$8,"&lt;="&amp;AS$9,условия!$9:$9,"&gt;="&amp;AS$9)</f>
        <v>320</v>
      </c>
      <c r="AT107" s="33">
        <f>AS107+IF(AT1=$Q$53,условия!$Q$166*SUMIFS(условия!$168:$168,условия!$8:$8,"&lt;="&amp;AT$9,условия!$9:$9,"&gt;="&amp;AT$9),0)+AT51*условия!$Q$166*SUMIFS(условия!$168:$168,условия!$8:$8,"&lt;="&amp;AT$9,условия!$9:$9,"&gt;="&amp;AT$9)</f>
        <v>320</v>
      </c>
      <c r="AU107" s="33">
        <f>AT107+IF(AU1=$Q$53,условия!$Q$166*SUMIFS(условия!$168:$168,условия!$8:$8,"&lt;="&amp;AU$9,условия!$9:$9,"&gt;="&amp;AU$9),0)+AU51*условия!$Q$166*SUMIFS(условия!$168:$168,условия!$8:$8,"&lt;="&amp;AU$9,условия!$9:$9,"&gt;="&amp;AU$9)</f>
        <v>320</v>
      </c>
      <c r="AV107" s="33">
        <f>AU107+IF(AV1=$Q$53,условия!$Q$166*SUMIFS(условия!$168:$168,условия!$8:$8,"&lt;="&amp;AV$9,условия!$9:$9,"&gt;="&amp;AV$9),0)+AV51*условия!$Q$166*SUMIFS(условия!$168:$168,условия!$8:$8,"&lt;="&amp;AV$9,условия!$9:$9,"&gt;="&amp;AV$9)</f>
        <v>320</v>
      </c>
      <c r="AW107" s="33">
        <f>AV107+IF(AW1=$Q$53,условия!$Q$166*SUMIFS(условия!$168:$168,условия!$8:$8,"&lt;="&amp;AW$9,условия!$9:$9,"&gt;="&amp;AW$9),0)+AW51*условия!$Q$166*SUMIFS(условия!$168:$168,условия!$8:$8,"&lt;="&amp;AW$9,условия!$9:$9,"&gt;="&amp;AW$9)</f>
        <v>320</v>
      </c>
      <c r="AX107" s="33">
        <f>AW107+IF(AX1=$Q$53,условия!$Q$166*SUMIFS(условия!$168:$168,условия!$8:$8,"&lt;="&amp;AX$9,условия!$9:$9,"&gt;="&amp;AX$9),0)+AX51*условия!$Q$166*SUMIFS(условия!$168:$168,условия!$8:$8,"&lt;="&amp;AX$9,условия!$9:$9,"&gt;="&amp;AX$9)</f>
        <v>320</v>
      </c>
      <c r="AY107" s="33">
        <f>AX107+IF(AY1=$Q$53,условия!$Q$166*SUMIFS(условия!$168:$168,условия!$8:$8,"&lt;="&amp;AY$9,условия!$9:$9,"&gt;="&amp;AY$9),0)+AY51*условия!$Q$166*SUMIFS(условия!$168:$168,условия!$8:$8,"&lt;="&amp;AY$9,условия!$9:$9,"&gt;="&amp;AY$9)</f>
        <v>320</v>
      </c>
      <c r="AZ107" s="33">
        <f>AY107+IF(AZ1=$Q$53,условия!$Q$166*SUMIFS(условия!$168:$168,условия!$8:$8,"&lt;="&amp;AZ$9,условия!$9:$9,"&gt;="&amp;AZ$9),0)+AZ51*условия!$Q$166*SUMIFS(условия!$168:$168,условия!$8:$8,"&lt;="&amp;AZ$9,условия!$9:$9,"&gt;="&amp;AZ$9)</f>
        <v>320</v>
      </c>
      <c r="BA107" s="33">
        <f>AZ107+IF(BA1=$Q$53,условия!$Q$166*SUMIFS(условия!$168:$168,условия!$8:$8,"&lt;="&amp;BA$9,условия!$9:$9,"&gt;="&amp;BA$9),0)+BA51*условия!$Q$166*SUMIFS(условия!$168:$168,условия!$8:$8,"&lt;="&amp;BA$9,условия!$9:$9,"&gt;="&amp;BA$9)</f>
        <v>320</v>
      </c>
      <c r="BB107" s="33">
        <f>BA107+IF(BB1=$Q$53,условия!$Q$166*SUMIFS(условия!$168:$168,условия!$8:$8,"&lt;="&amp;BB$9,условия!$9:$9,"&gt;="&amp;BB$9),0)+BB51*условия!$Q$166*SUMIFS(условия!$168:$168,условия!$8:$8,"&lt;="&amp;BB$9,условия!$9:$9,"&gt;="&amp;BB$9)</f>
        <v>320</v>
      </c>
      <c r="BC107" s="33">
        <f>BB107+IF(BC1=$Q$53,условия!$Q$166*SUMIFS(условия!$168:$168,условия!$8:$8,"&lt;="&amp;BC$9,условия!$9:$9,"&gt;="&amp;BC$9),0)+BC51*условия!$Q$166*SUMIFS(условия!$168:$168,условия!$8:$8,"&lt;="&amp;BC$9,условия!$9:$9,"&gt;="&amp;BC$9)</f>
        <v>320</v>
      </c>
      <c r="BD107" s="33">
        <f>BC107+IF(BD1=$Q$53,условия!$Q$166*SUMIFS(условия!$168:$168,условия!$8:$8,"&lt;="&amp;BD$9,условия!$9:$9,"&gt;="&amp;BD$9),0)+BD51*условия!$Q$166*SUMIFS(условия!$168:$168,условия!$8:$8,"&lt;="&amp;BD$9,условия!$9:$9,"&gt;="&amp;BD$9)</f>
        <v>320</v>
      </c>
      <c r="BE107" s="33">
        <f>BD107+IF(BE1=$Q$53,условия!$Q$166*SUMIFS(условия!$168:$168,условия!$8:$8,"&lt;="&amp;BE$9,условия!$9:$9,"&gt;="&amp;BE$9),0)+BE51*условия!$Q$166*SUMIFS(условия!$168:$168,условия!$8:$8,"&lt;="&amp;BE$9,условия!$9:$9,"&gt;="&amp;BE$9)</f>
        <v>320</v>
      </c>
      <c r="BF107" s="33">
        <f>BE107+IF(BF1=$Q$53,условия!$Q$166*SUMIFS(условия!$168:$168,условия!$8:$8,"&lt;="&amp;BF$9,условия!$9:$9,"&gt;="&amp;BF$9),0)+BF51*условия!$Q$166*SUMIFS(условия!$168:$168,условия!$8:$8,"&lt;="&amp;BF$9,условия!$9:$9,"&gt;="&amp;BF$9)</f>
        <v>320</v>
      </c>
      <c r="BG107" s="33">
        <f>BF107+IF(BG1=$Q$53,условия!$Q$166*SUMIFS(условия!$168:$168,условия!$8:$8,"&lt;="&amp;BG$9,условия!$9:$9,"&gt;="&amp;BG$9),0)+BG51*условия!$Q$166*SUMIFS(условия!$168:$168,условия!$8:$8,"&lt;="&amp;BG$9,условия!$9:$9,"&gt;="&amp;BG$9)</f>
        <v>320</v>
      </c>
      <c r="BH107" s="33">
        <f>BG107+IF(BH1=$Q$53,условия!$Q$166*SUMIFS(условия!$168:$168,условия!$8:$8,"&lt;="&amp;BH$9,условия!$9:$9,"&gt;="&amp;BH$9),0)+BH51*условия!$Q$166*SUMIFS(условия!$168:$168,условия!$8:$8,"&lt;="&amp;BH$9,условия!$9:$9,"&gt;="&amp;BH$9)</f>
        <v>320</v>
      </c>
      <c r="BI107" s="33">
        <f>BH107+IF(BI1=$Q$53,условия!$Q$166*SUMIFS(условия!$168:$168,условия!$8:$8,"&lt;="&amp;BI$9,условия!$9:$9,"&gt;="&amp;BI$9),0)+BI51*условия!$Q$166*SUMIFS(условия!$168:$168,условия!$8:$8,"&lt;="&amp;BI$9,условия!$9:$9,"&gt;="&amp;BI$9)</f>
        <v>320</v>
      </c>
      <c r="BJ107" s="33">
        <f>BI107+IF(BJ1=$Q$53,условия!$Q$166*SUMIFS(условия!$168:$168,условия!$8:$8,"&lt;="&amp;BJ$9,условия!$9:$9,"&gt;="&amp;BJ$9),0)+BJ51*условия!$Q$166*SUMIFS(условия!$168:$168,условия!$8:$8,"&lt;="&amp;BJ$9,условия!$9:$9,"&gt;="&amp;BJ$9)</f>
        <v>320</v>
      </c>
      <c r="BK107" s="33">
        <f>BJ107+IF(BK1=$Q$53,условия!$Q$166*SUMIFS(условия!$168:$168,условия!$8:$8,"&lt;="&amp;BK$9,условия!$9:$9,"&gt;="&amp;BK$9),0)+BK51*условия!$Q$166*SUMIFS(условия!$168:$168,условия!$8:$8,"&lt;="&amp;BK$9,условия!$9:$9,"&gt;="&amp;BK$9)</f>
        <v>320</v>
      </c>
      <c r="BL107" s="33">
        <f>BK107+IF(BL1=$Q$53,условия!$Q$166*SUMIFS(условия!$168:$168,условия!$8:$8,"&lt;="&amp;BL$9,условия!$9:$9,"&gt;="&amp;BL$9),0)+BL51*условия!$Q$166*SUMIFS(условия!$168:$168,условия!$8:$8,"&lt;="&amp;BL$9,условия!$9:$9,"&gt;="&amp;BL$9)</f>
        <v>320</v>
      </c>
      <c r="BM107" s="33">
        <f>BL107+IF(BM1=$Q$53,условия!$Q$166*SUMIFS(условия!$168:$168,условия!$8:$8,"&lt;="&amp;BM$9,условия!$9:$9,"&gt;="&amp;BM$9),0)+BM51*условия!$Q$166*SUMIFS(условия!$168:$168,условия!$8:$8,"&lt;="&amp;BM$9,условия!$9:$9,"&gt;="&amp;BM$9)</f>
        <v>320</v>
      </c>
      <c r="BN107" s="33">
        <f>BM107+IF(BN1=$Q$53,условия!$Q$166*SUMIFS(условия!$168:$168,условия!$8:$8,"&lt;="&amp;BN$9,условия!$9:$9,"&gt;="&amp;BN$9),0)+BN51*условия!$Q$166*SUMIFS(условия!$168:$168,условия!$8:$8,"&lt;="&amp;BN$9,условия!$9:$9,"&gt;="&amp;BN$9)</f>
        <v>320</v>
      </c>
      <c r="BO107" s="33">
        <f>BN107+IF(BO1=$Q$53,условия!$Q$166*SUMIFS(условия!$168:$168,условия!$8:$8,"&lt;="&amp;BO$9,условия!$9:$9,"&gt;="&amp;BO$9),0)+BO51*условия!$Q$166*SUMIFS(условия!$168:$168,условия!$8:$8,"&lt;="&amp;BO$9,условия!$9:$9,"&gt;="&amp;BO$9)</f>
        <v>320</v>
      </c>
      <c r="BP107" s="33">
        <f>BO107+IF(BP1=$Q$53,условия!$Q$166*SUMIFS(условия!$168:$168,условия!$8:$8,"&lt;="&amp;BP$9,условия!$9:$9,"&gt;="&amp;BP$9),0)+BP51*условия!$Q$166*SUMIFS(условия!$168:$168,условия!$8:$8,"&lt;="&amp;BP$9,условия!$9:$9,"&gt;="&amp;BP$9)</f>
        <v>320</v>
      </c>
      <c r="BQ107" s="33">
        <f>BP107+IF(BQ1=$Q$53,условия!$Q$166*SUMIFS(условия!$168:$168,условия!$8:$8,"&lt;="&amp;BQ$9,условия!$9:$9,"&gt;="&amp;BQ$9),0)+BQ51*условия!$Q$166*SUMIFS(условия!$168:$168,условия!$8:$8,"&lt;="&amp;BQ$9,условия!$9:$9,"&gt;="&amp;BQ$9)</f>
        <v>320</v>
      </c>
      <c r="BR107" s="33">
        <f>BQ107+IF(BR1=$Q$53,условия!$Q$166*SUMIFS(условия!$168:$168,условия!$8:$8,"&lt;="&amp;BR$9,условия!$9:$9,"&gt;="&amp;BR$9),0)+BR51*условия!$Q$166*SUMIFS(условия!$168:$168,условия!$8:$8,"&lt;="&amp;BR$9,условия!$9:$9,"&gt;="&amp;BR$9)</f>
        <v>320</v>
      </c>
      <c r="BS107" s="33">
        <f>BR107+IF(BS1=$Q$53,условия!$Q$166*SUMIFS(условия!$168:$168,условия!$8:$8,"&lt;="&amp;BS$9,условия!$9:$9,"&gt;="&amp;BS$9),0)+BS51*условия!$Q$166*SUMIFS(условия!$168:$168,условия!$8:$8,"&lt;="&amp;BS$9,условия!$9:$9,"&gt;="&amp;BS$9)</f>
        <v>320</v>
      </c>
      <c r="BT107" s="33">
        <f>BS107+IF(BT1=$Q$53,условия!$Q$166*SUMIFS(условия!$168:$168,условия!$8:$8,"&lt;="&amp;BT$9,условия!$9:$9,"&gt;="&amp;BT$9),0)+BT51*условия!$Q$166*SUMIFS(условия!$168:$168,условия!$8:$8,"&lt;="&amp;BT$9,условия!$9:$9,"&gt;="&amp;BT$9)</f>
        <v>320</v>
      </c>
      <c r="BU107" s="33">
        <f>BT107+IF(BU1=$Q$53,условия!$Q$166*SUMIFS(условия!$168:$168,условия!$8:$8,"&lt;="&amp;BU$9,условия!$9:$9,"&gt;="&amp;BU$9),0)+BU51*условия!$Q$166*SUMIFS(условия!$168:$168,условия!$8:$8,"&lt;="&amp;BU$9,условия!$9:$9,"&gt;="&amp;BU$9)</f>
        <v>320</v>
      </c>
      <c r="BV107" s="33">
        <f>BU107+IF(BV1=$Q$53,условия!$Q$166*SUMIFS(условия!$168:$168,условия!$8:$8,"&lt;="&amp;BV$9,условия!$9:$9,"&gt;="&amp;BV$9),0)+BV51*условия!$Q$166*SUMIFS(условия!$168:$168,условия!$8:$8,"&lt;="&amp;BV$9,условия!$9:$9,"&gt;="&amp;BV$9)</f>
        <v>320</v>
      </c>
      <c r="BW107" s="33">
        <f>BV107+IF(BW1=$Q$53,условия!$Q$166*SUMIFS(условия!$168:$168,условия!$8:$8,"&lt;="&amp;BW$9,условия!$9:$9,"&gt;="&amp;BW$9),0)+BW51*условия!$Q$166*SUMIFS(условия!$168:$168,условия!$8:$8,"&lt;="&amp;BW$9,условия!$9:$9,"&gt;="&amp;BW$9)</f>
        <v>320</v>
      </c>
      <c r="BX107" s="33">
        <f>BW107+IF(BX1=$Q$53,условия!$Q$166*SUMIFS(условия!$168:$168,условия!$8:$8,"&lt;="&amp;BX$9,условия!$9:$9,"&gt;="&amp;BX$9),0)+BX51*условия!$Q$166*SUMIFS(условия!$168:$168,условия!$8:$8,"&lt;="&amp;BX$9,условия!$9:$9,"&gt;="&amp;BX$9)</f>
        <v>320</v>
      </c>
      <c r="BY107" s="33">
        <f>BX107+IF(BY1=$Q$53,условия!$Q$166*SUMIFS(условия!$168:$168,условия!$8:$8,"&lt;="&amp;BY$9,условия!$9:$9,"&gt;="&amp;BY$9),0)+BY51*условия!$Q$166*SUMIFS(условия!$168:$168,условия!$8:$8,"&lt;="&amp;BY$9,условия!$9:$9,"&gt;="&amp;BY$9)</f>
        <v>735.46131200000013</v>
      </c>
      <c r="BZ107" s="33">
        <f>BY107+IF(BZ1=$Q$53,условия!$Q$166*SUMIFS(условия!$168:$168,условия!$8:$8,"&lt;="&amp;BZ$9,условия!$9:$9,"&gt;="&amp;BZ$9),0)+BZ51*условия!$Q$166*SUMIFS(условия!$168:$168,условия!$8:$8,"&lt;="&amp;BZ$9,условия!$9:$9,"&gt;="&amp;BZ$9)</f>
        <v>735.46131200000013</v>
      </c>
      <c r="CA107" s="33">
        <f>BZ107+IF(CA1=$Q$53,условия!$Q$166*SUMIFS(условия!$168:$168,условия!$8:$8,"&lt;="&amp;CA$9,условия!$9:$9,"&gt;="&amp;CA$9),0)+CA51*условия!$Q$166*SUMIFS(условия!$168:$168,условия!$8:$8,"&lt;="&amp;CA$9,условия!$9:$9,"&gt;="&amp;CA$9)</f>
        <v>735.46131200000013</v>
      </c>
      <c r="CB107" s="33">
        <f>CA107+IF(CB1=$Q$53,условия!$Q$166*SUMIFS(условия!$168:$168,условия!$8:$8,"&lt;="&amp;CB$9,условия!$9:$9,"&gt;="&amp;CB$9),0)+CB51*условия!$Q$166*SUMIFS(условия!$168:$168,условия!$8:$8,"&lt;="&amp;CB$9,условия!$9:$9,"&gt;="&amp;CB$9)</f>
        <v>735.46131200000013</v>
      </c>
      <c r="CC107" s="33">
        <f>CB107+IF(CC1=$Q$53,условия!$Q$166*SUMIFS(условия!$168:$168,условия!$8:$8,"&lt;="&amp;CC$9,условия!$9:$9,"&gt;="&amp;CC$9),0)+CC51*условия!$Q$166*SUMIFS(условия!$168:$168,условия!$8:$8,"&lt;="&amp;CC$9,условия!$9:$9,"&gt;="&amp;CC$9)</f>
        <v>735.46131200000013</v>
      </c>
      <c r="CD107" s="33">
        <f>CC107+IF(CD1=$Q$53,условия!$Q$166*SUMIFS(условия!$168:$168,условия!$8:$8,"&lt;="&amp;CD$9,условия!$9:$9,"&gt;="&amp;CD$9),0)+CD51*условия!$Q$166*SUMIFS(условия!$168:$168,условия!$8:$8,"&lt;="&amp;CD$9,условия!$9:$9,"&gt;="&amp;CD$9)</f>
        <v>735.46131200000013</v>
      </c>
      <c r="CE107" s="33">
        <f>CD107+IF(CE1=$Q$53,условия!$Q$166*SUMIFS(условия!$168:$168,условия!$8:$8,"&lt;="&amp;CE$9,условия!$9:$9,"&gt;="&amp;CE$9),0)+CE51*условия!$Q$166*SUMIFS(условия!$168:$168,условия!$8:$8,"&lt;="&amp;CE$9,условия!$9:$9,"&gt;="&amp;CE$9)</f>
        <v>735.46131200000013</v>
      </c>
      <c r="CF107" s="33">
        <f>CE107+IF(CF1=$Q$53,условия!$Q$166*SUMIFS(условия!$168:$168,условия!$8:$8,"&lt;="&amp;CF$9,условия!$9:$9,"&gt;="&amp;CF$9),0)+CF51*условия!$Q$166*SUMIFS(условия!$168:$168,условия!$8:$8,"&lt;="&amp;CF$9,условия!$9:$9,"&gt;="&amp;CF$9)</f>
        <v>735.46131200000013</v>
      </c>
      <c r="CG107" s="33">
        <f>CF107+IF(CG1=$Q$53,условия!$Q$166*SUMIFS(условия!$168:$168,условия!$8:$8,"&lt;="&amp;CG$9,условия!$9:$9,"&gt;="&amp;CG$9),0)+CG51*условия!$Q$166*SUMIFS(условия!$168:$168,условия!$8:$8,"&lt;="&amp;CG$9,условия!$9:$9,"&gt;="&amp;CG$9)</f>
        <v>735.46131200000013</v>
      </c>
      <c r="CH107" s="33">
        <f>CG107+IF(CH1=$Q$53,условия!$Q$166*SUMIFS(условия!$168:$168,условия!$8:$8,"&lt;="&amp;CH$9,условия!$9:$9,"&gt;="&amp;CH$9),0)+CH51*условия!$Q$166*SUMIFS(условия!$168:$168,условия!$8:$8,"&lt;="&amp;CH$9,условия!$9:$9,"&gt;="&amp;CH$9)</f>
        <v>735.46131200000013</v>
      </c>
      <c r="CI107" s="33">
        <f>CH107+IF(CI1=$Q$53,условия!$Q$166*SUMIFS(условия!$168:$168,условия!$8:$8,"&lt;="&amp;CI$9,условия!$9:$9,"&gt;="&amp;CI$9),0)+CI51*условия!$Q$166*SUMIFS(условия!$168:$168,условия!$8:$8,"&lt;="&amp;CI$9,условия!$9:$9,"&gt;="&amp;CI$9)</f>
        <v>735.46131200000013</v>
      </c>
      <c r="CJ107" s="33">
        <f>CI107+IF(CJ1=$Q$53,условия!$Q$166*SUMIFS(условия!$168:$168,условия!$8:$8,"&lt;="&amp;CJ$9,условия!$9:$9,"&gt;="&amp;CJ$9),0)+CJ51*условия!$Q$166*SUMIFS(условия!$168:$168,условия!$8:$8,"&lt;="&amp;CJ$9,условия!$9:$9,"&gt;="&amp;CJ$9)</f>
        <v>735.46131200000013</v>
      </c>
      <c r="CK107" s="33">
        <f>CJ107+IF(CK1=$Q$53,условия!$Q$166*SUMIFS(условия!$168:$168,условия!$8:$8,"&lt;="&amp;CK$9,условия!$9:$9,"&gt;="&amp;CK$9),0)+CK51*условия!$Q$166*SUMIFS(условия!$168:$168,условия!$8:$8,"&lt;="&amp;CK$9,условия!$9:$9,"&gt;="&amp;CK$9)</f>
        <v>735.46131200000013</v>
      </c>
      <c r="CL107" s="33">
        <f>CK107+IF(CL1=$Q$53,условия!$Q$166*SUMIFS(условия!$168:$168,условия!$8:$8,"&lt;="&amp;CL$9,условия!$9:$9,"&gt;="&amp;CL$9),0)+CL51*условия!$Q$166*SUMIFS(условия!$168:$168,условия!$8:$8,"&lt;="&amp;CL$9,условия!$9:$9,"&gt;="&amp;CL$9)</f>
        <v>735.46131200000013</v>
      </c>
      <c r="CM107" s="33">
        <f>CL107+IF(CM1=$Q$53,условия!$Q$166*SUMIFS(условия!$168:$168,условия!$8:$8,"&lt;="&amp;CM$9,условия!$9:$9,"&gt;="&amp;CM$9),0)+CM51*условия!$Q$166*SUMIFS(условия!$168:$168,условия!$8:$8,"&lt;="&amp;CM$9,условия!$9:$9,"&gt;="&amp;CM$9)</f>
        <v>735.46131200000013</v>
      </c>
      <c r="CN107" s="33">
        <f>CM107+IF(CN1=$Q$53,условия!$Q$166*SUMIFS(условия!$168:$168,условия!$8:$8,"&lt;="&amp;CN$9,условия!$9:$9,"&gt;="&amp;CN$9),0)+CN51*условия!$Q$166*SUMIFS(условия!$168:$168,условия!$8:$8,"&lt;="&amp;CN$9,условия!$9:$9,"&gt;="&amp;CN$9)</f>
        <v>735.46131200000013</v>
      </c>
      <c r="CO107" s="33">
        <f>CN107+IF(CO1=$Q$53,условия!$Q$166*SUMIFS(условия!$168:$168,условия!$8:$8,"&lt;="&amp;CO$9,условия!$9:$9,"&gt;="&amp;CO$9),0)+CO51*условия!$Q$166*SUMIFS(условия!$168:$168,условия!$8:$8,"&lt;="&amp;CO$9,условия!$9:$9,"&gt;="&amp;CO$9)</f>
        <v>735.46131200000013</v>
      </c>
      <c r="CP107" s="33">
        <f>CO107+IF(CP1=$Q$53,условия!$Q$166*SUMIFS(условия!$168:$168,условия!$8:$8,"&lt;="&amp;CP$9,условия!$9:$9,"&gt;="&amp;CP$9),0)+CP51*условия!$Q$166*SUMIFS(условия!$168:$168,условия!$8:$8,"&lt;="&amp;CP$9,условия!$9:$9,"&gt;="&amp;CP$9)</f>
        <v>735.46131200000013</v>
      </c>
      <c r="CQ107" s="33">
        <f>CP107+IF(CQ1=$Q$53,условия!$Q$166*SUMIFS(условия!$168:$168,условия!$8:$8,"&lt;="&amp;CQ$9,условия!$9:$9,"&gt;="&amp;CQ$9),0)+CQ51*условия!$Q$166*SUMIFS(условия!$168:$168,условия!$8:$8,"&lt;="&amp;CQ$9,условия!$9:$9,"&gt;="&amp;CQ$9)</f>
        <v>735.46131200000013</v>
      </c>
      <c r="CR107" s="33">
        <f>CQ107+IF(CR1=$Q$53,условия!$Q$166*SUMIFS(условия!$168:$168,условия!$8:$8,"&lt;="&amp;CR$9,условия!$9:$9,"&gt;="&amp;CR$9),0)+CR51*условия!$Q$166*SUMIFS(условия!$168:$168,условия!$8:$8,"&lt;="&amp;CR$9,условия!$9:$9,"&gt;="&amp;CR$9)</f>
        <v>735.46131200000013</v>
      </c>
      <c r="CS107" s="33">
        <f>CR107+IF(CS1=$Q$53,условия!$Q$166*SUMIFS(условия!$168:$168,условия!$8:$8,"&lt;="&amp;CS$9,условия!$9:$9,"&gt;="&amp;CS$9),0)+CS51*условия!$Q$166*SUMIFS(условия!$168:$168,условия!$8:$8,"&lt;="&amp;CS$9,условия!$9:$9,"&gt;="&amp;CS$9)</f>
        <v>735.46131200000013</v>
      </c>
      <c r="CT107" s="33">
        <f>CS107+IF(CT1=$Q$53,условия!$Q$166*SUMIFS(условия!$168:$168,условия!$8:$8,"&lt;="&amp;CT$9,условия!$9:$9,"&gt;="&amp;CT$9),0)+CT51*условия!$Q$166*SUMIFS(условия!$168:$168,условия!$8:$8,"&lt;="&amp;CT$9,условия!$9:$9,"&gt;="&amp;CT$9)</f>
        <v>735.46131200000013</v>
      </c>
      <c r="CU107" s="33">
        <f>CT107+IF(CU1=$Q$53,условия!$Q$166*SUMIFS(условия!$168:$168,условия!$8:$8,"&lt;="&amp;CU$9,условия!$9:$9,"&gt;="&amp;CU$9),0)+CU51*условия!$Q$166*SUMIFS(условия!$168:$168,условия!$8:$8,"&lt;="&amp;CU$9,условия!$9:$9,"&gt;="&amp;CU$9)</f>
        <v>735.46131200000013</v>
      </c>
      <c r="CV107" s="33">
        <f>CU107+IF(CV1=$Q$53,условия!$Q$166*SUMIFS(условия!$168:$168,условия!$8:$8,"&lt;="&amp;CV$9,условия!$9:$9,"&gt;="&amp;CV$9),0)+CV51*условия!$Q$166*SUMIFS(условия!$168:$168,условия!$8:$8,"&lt;="&amp;CV$9,условия!$9:$9,"&gt;="&amp;CV$9)</f>
        <v>735.46131200000013</v>
      </c>
      <c r="CW107" s="33">
        <f>CV107+IF(CW1=$Q$53,условия!$Q$166*SUMIFS(условия!$168:$168,условия!$8:$8,"&lt;="&amp;CW$9,условия!$9:$9,"&gt;="&amp;CW$9),0)+CW51*условия!$Q$166*SUMIFS(условия!$168:$168,условия!$8:$8,"&lt;="&amp;CW$9,условия!$9:$9,"&gt;="&amp;CW$9)</f>
        <v>735.46131200000013</v>
      </c>
      <c r="CX107" s="33">
        <f>CW107+IF(CX1=$Q$53,условия!$Q$166*SUMIFS(условия!$168:$168,условия!$8:$8,"&lt;="&amp;CX$9,условия!$9:$9,"&gt;="&amp;CX$9),0)+CX51*условия!$Q$166*SUMIFS(условия!$168:$168,условия!$8:$8,"&lt;="&amp;CX$9,условия!$9:$9,"&gt;="&amp;CX$9)</f>
        <v>735.46131200000013</v>
      </c>
      <c r="CY107" s="33">
        <f>CX107+IF(CY1=$Q$53,условия!$Q$166*SUMIFS(условия!$168:$168,условия!$8:$8,"&lt;="&amp;CY$9,условия!$9:$9,"&gt;="&amp;CY$9),0)+CY51*условия!$Q$166*SUMIFS(условия!$168:$168,условия!$8:$8,"&lt;="&amp;CY$9,условия!$9:$9,"&gt;="&amp;CY$9)</f>
        <v>735.46131200000013</v>
      </c>
      <c r="CZ107" s="33">
        <f>CY107+IF(CZ1=$Q$53,условия!$Q$166*SUMIFS(условия!$168:$168,условия!$8:$8,"&lt;="&amp;CZ$9,условия!$9:$9,"&gt;="&amp;CZ$9),0)+CZ51*условия!$Q$166*SUMIFS(условия!$168:$168,условия!$8:$8,"&lt;="&amp;CZ$9,условия!$9:$9,"&gt;="&amp;CZ$9)</f>
        <v>735.46131200000013</v>
      </c>
      <c r="DA107" s="33">
        <f>CZ107+IF(DA1=$Q$53,условия!$Q$166*SUMIFS(условия!$168:$168,условия!$8:$8,"&lt;="&amp;DA$9,условия!$9:$9,"&gt;="&amp;DA$9),0)+DA51*условия!$Q$166*SUMIFS(условия!$168:$168,условия!$8:$8,"&lt;="&amp;DA$9,условия!$9:$9,"&gt;="&amp;DA$9)</f>
        <v>735.46131200000013</v>
      </c>
      <c r="DB107" s="33">
        <f>DA107+IF(DB1=$Q$53,условия!$Q$166*SUMIFS(условия!$168:$168,условия!$8:$8,"&lt;="&amp;DB$9,условия!$9:$9,"&gt;="&amp;DB$9),0)+DB51*условия!$Q$166*SUMIFS(условия!$168:$168,условия!$8:$8,"&lt;="&amp;DB$9,условия!$9:$9,"&gt;="&amp;DB$9)</f>
        <v>735.46131200000013</v>
      </c>
      <c r="DC107" s="33">
        <f>DB107+IF(DC1=$Q$53,условия!$Q$166*SUMIFS(условия!$168:$168,условия!$8:$8,"&lt;="&amp;DC$9,условия!$9:$9,"&gt;="&amp;DC$9),0)+DC51*условия!$Q$166*SUMIFS(условия!$168:$168,условия!$8:$8,"&lt;="&amp;DC$9,условия!$9:$9,"&gt;="&amp;DC$9)</f>
        <v>735.46131200000013</v>
      </c>
      <c r="DD107" s="33">
        <f>DC107+IF(DD1=$Q$53,условия!$Q$166*SUMIFS(условия!$168:$168,условия!$8:$8,"&lt;="&amp;DD$9,условия!$9:$9,"&gt;="&amp;DD$9),0)+DD51*условия!$Q$166*SUMIFS(условия!$168:$168,условия!$8:$8,"&lt;="&amp;DD$9,условия!$9:$9,"&gt;="&amp;DD$9)</f>
        <v>735.46131200000013</v>
      </c>
      <c r="DE107" s="33">
        <f>DD107+IF(DE1=$Q$53,условия!$Q$166*SUMIFS(условия!$168:$168,условия!$8:$8,"&lt;="&amp;DE$9,условия!$9:$9,"&gt;="&amp;DE$9),0)+DE51*условия!$Q$166*SUMIFS(условия!$168:$168,условия!$8:$8,"&lt;="&amp;DE$9,условия!$9:$9,"&gt;="&amp;DE$9)</f>
        <v>735.46131200000013</v>
      </c>
      <c r="DF107" s="33">
        <f>DE107+IF(DF1=$Q$53,условия!$Q$166*SUMIFS(условия!$168:$168,условия!$8:$8,"&lt;="&amp;DF$9,условия!$9:$9,"&gt;="&amp;DF$9),0)+DF51*условия!$Q$166*SUMIFS(условия!$168:$168,условия!$8:$8,"&lt;="&amp;DF$9,условия!$9:$9,"&gt;="&amp;DF$9)</f>
        <v>735.46131200000013</v>
      </c>
      <c r="DG107" s="33">
        <f>DF107+IF(DG1=$Q$53,условия!$Q$166*SUMIFS(условия!$168:$168,условия!$8:$8,"&lt;="&amp;DG$9,условия!$9:$9,"&gt;="&amp;DG$9),0)+DG51*условия!$Q$166*SUMIFS(условия!$168:$168,условия!$8:$8,"&lt;="&amp;DG$9,условия!$9:$9,"&gt;="&amp;DG$9)</f>
        <v>735.46131200000013</v>
      </c>
      <c r="DH107" s="33">
        <f>DG107+IF(DH1=$Q$53,условия!$Q$166*SUMIFS(условия!$168:$168,условия!$8:$8,"&lt;="&amp;DH$9,условия!$9:$9,"&gt;="&amp;DH$9),0)+DH51*условия!$Q$166*SUMIFS(условия!$168:$168,условия!$8:$8,"&lt;="&amp;DH$9,условия!$9:$9,"&gt;="&amp;DH$9)</f>
        <v>735.46131200000013</v>
      </c>
      <c r="DI107" s="33">
        <f>DH107+IF(DI1=$Q$53,условия!$Q$166*SUMIFS(условия!$168:$168,условия!$8:$8,"&lt;="&amp;DI$9,условия!$9:$9,"&gt;="&amp;DI$9),0)+DI51*условия!$Q$166*SUMIFS(условия!$168:$168,условия!$8:$8,"&lt;="&amp;DI$9,условия!$9:$9,"&gt;="&amp;DI$9)</f>
        <v>735.46131200000013</v>
      </c>
      <c r="DJ107" s="33">
        <f>DI107+IF(DJ1=$Q$53,условия!$Q$166*SUMIFS(условия!$168:$168,условия!$8:$8,"&lt;="&amp;DJ$9,условия!$9:$9,"&gt;="&amp;DJ$9),0)+DJ51*условия!$Q$166*SUMIFS(условия!$168:$168,условия!$8:$8,"&lt;="&amp;DJ$9,условия!$9:$9,"&gt;="&amp;DJ$9)</f>
        <v>1216.3660898662404</v>
      </c>
      <c r="DK107" s="33">
        <f>DJ107+IF(DK1=$Q$53,условия!$Q$166*SUMIFS(условия!$168:$168,условия!$8:$8,"&lt;="&amp;DK$9,условия!$9:$9,"&gt;="&amp;DK$9),0)+DK51*условия!$Q$166*SUMIFS(условия!$168:$168,условия!$8:$8,"&lt;="&amp;DK$9,условия!$9:$9,"&gt;="&amp;DK$9)</f>
        <v>1216.3660898662404</v>
      </c>
      <c r="DL107" s="33">
        <f>DK107+IF(DL1=$Q$53,условия!$Q$166*SUMIFS(условия!$168:$168,условия!$8:$8,"&lt;="&amp;DL$9,условия!$9:$9,"&gt;="&amp;DL$9),0)+DL51*условия!$Q$166*SUMIFS(условия!$168:$168,условия!$8:$8,"&lt;="&amp;DL$9,условия!$9:$9,"&gt;="&amp;DL$9)</f>
        <v>1216.3660898662404</v>
      </c>
      <c r="DM107" s="33">
        <f>DL107+IF(DM1=$Q$53,условия!$Q$166*SUMIFS(условия!$168:$168,условия!$8:$8,"&lt;="&amp;DM$9,условия!$9:$9,"&gt;="&amp;DM$9),0)+DM51*условия!$Q$166*SUMIFS(условия!$168:$168,условия!$8:$8,"&lt;="&amp;DM$9,условия!$9:$9,"&gt;="&amp;DM$9)</f>
        <v>1216.3660898662404</v>
      </c>
      <c r="DN107" s="33">
        <f>DM107+IF(DN1=$Q$53,условия!$Q$166*SUMIFS(условия!$168:$168,условия!$8:$8,"&lt;="&amp;DN$9,условия!$9:$9,"&gt;="&amp;DN$9),0)+DN51*условия!$Q$166*SUMIFS(условия!$168:$168,условия!$8:$8,"&lt;="&amp;DN$9,условия!$9:$9,"&gt;="&amp;DN$9)</f>
        <v>1216.3660898662404</v>
      </c>
      <c r="DO107" s="33">
        <f>DN107+IF(DO1=$Q$53,условия!$Q$166*SUMIFS(условия!$168:$168,условия!$8:$8,"&lt;="&amp;DO$9,условия!$9:$9,"&gt;="&amp;DO$9),0)+DO51*условия!$Q$166*SUMIFS(условия!$168:$168,условия!$8:$8,"&lt;="&amp;DO$9,условия!$9:$9,"&gt;="&amp;DO$9)</f>
        <v>1216.3660898662404</v>
      </c>
      <c r="DP107" s="33">
        <f>DO107+IF(DP1=$Q$53,условия!$Q$166*SUMIFS(условия!$168:$168,условия!$8:$8,"&lt;="&amp;DP$9,условия!$9:$9,"&gt;="&amp;DP$9),0)+DP51*условия!$Q$166*SUMIFS(условия!$168:$168,условия!$8:$8,"&lt;="&amp;DP$9,условия!$9:$9,"&gt;="&amp;DP$9)</f>
        <v>1216.3660898662404</v>
      </c>
      <c r="DQ107" s="33">
        <f>DP107+IF(DQ1=$Q$53,условия!$Q$166*SUMIFS(условия!$168:$168,условия!$8:$8,"&lt;="&amp;DQ$9,условия!$9:$9,"&gt;="&amp;DQ$9),0)+DQ51*условия!$Q$166*SUMIFS(условия!$168:$168,условия!$8:$8,"&lt;="&amp;DQ$9,условия!$9:$9,"&gt;="&amp;DQ$9)</f>
        <v>1216.3660898662404</v>
      </c>
      <c r="DR107" s="33">
        <f>DQ107+IF(DR1=$Q$53,условия!$Q$166*SUMIFS(условия!$168:$168,условия!$8:$8,"&lt;="&amp;DR$9,условия!$9:$9,"&gt;="&amp;DR$9),0)+DR51*условия!$Q$166*SUMIFS(условия!$168:$168,условия!$8:$8,"&lt;="&amp;DR$9,условия!$9:$9,"&gt;="&amp;DR$9)</f>
        <v>1216.3660898662404</v>
      </c>
      <c r="DS107" s="33">
        <f>DR107+IF(DS1=$Q$53,условия!$Q$166*SUMIFS(условия!$168:$168,условия!$8:$8,"&lt;="&amp;DS$9,условия!$9:$9,"&gt;="&amp;DS$9),0)+DS51*условия!$Q$166*SUMIFS(условия!$168:$168,условия!$8:$8,"&lt;="&amp;DS$9,условия!$9:$9,"&gt;="&amp;DS$9)</f>
        <v>1216.3660898662404</v>
      </c>
      <c r="DT107" s="33">
        <f>DS107+IF(DT1=$Q$53,условия!$Q$166*SUMIFS(условия!$168:$168,условия!$8:$8,"&lt;="&amp;DT$9,условия!$9:$9,"&gt;="&amp;DT$9),0)+DT51*условия!$Q$166*SUMIFS(условия!$168:$168,условия!$8:$8,"&lt;="&amp;DT$9,условия!$9:$9,"&gt;="&amp;DT$9)</f>
        <v>1216.3660898662404</v>
      </c>
      <c r="DU107" s="33">
        <f>DT107+IF(DU1=$Q$53,условия!$Q$166*SUMIFS(условия!$168:$168,условия!$8:$8,"&lt;="&amp;DU$9,условия!$9:$9,"&gt;="&amp;DU$9),0)+DU51*условия!$Q$166*SUMIFS(условия!$168:$168,условия!$8:$8,"&lt;="&amp;DU$9,условия!$9:$9,"&gt;="&amp;DU$9)</f>
        <v>1216.3660898662404</v>
      </c>
      <c r="DV107" s="33">
        <f>DU107+IF(DV1=$Q$53,условия!$Q$166*SUMIFS(условия!$168:$168,условия!$8:$8,"&lt;="&amp;DV$9,условия!$9:$9,"&gt;="&amp;DV$9),0)+DV51*условия!$Q$166*SUMIFS(условия!$168:$168,условия!$8:$8,"&lt;="&amp;DV$9,условия!$9:$9,"&gt;="&amp;DV$9)</f>
        <v>1216.3660898662404</v>
      </c>
      <c r="DW107" s="33">
        <f>DV107+IF(DW1=$Q$53,условия!$Q$166*SUMIFS(условия!$168:$168,условия!$8:$8,"&lt;="&amp;DW$9,условия!$9:$9,"&gt;="&amp;DW$9),0)+DW51*условия!$Q$166*SUMIFS(условия!$168:$168,условия!$8:$8,"&lt;="&amp;DW$9,условия!$9:$9,"&gt;="&amp;DW$9)</f>
        <v>1216.3660898662404</v>
      </c>
      <c r="DX107" s="33">
        <f>DW107+IF(DX1=$Q$53,условия!$Q$166*SUMIFS(условия!$168:$168,условия!$8:$8,"&lt;="&amp;DX$9,условия!$9:$9,"&gt;="&amp;DX$9),0)+DX51*условия!$Q$166*SUMIFS(условия!$168:$168,условия!$8:$8,"&lt;="&amp;DX$9,условия!$9:$9,"&gt;="&amp;DX$9)</f>
        <v>1216.3660898662404</v>
      </c>
      <c r="DY107" s="33">
        <f>DX107+IF(DY1=$Q$53,условия!$Q$166*SUMIFS(условия!$168:$168,условия!$8:$8,"&lt;="&amp;DY$9,условия!$9:$9,"&gt;="&amp;DY$9),0)+DY51*условия!$Q$166*SUMIFS(условия!$168:$168,условия!$8:$8,"&lt;="&amp;DY$9,условия!$9:$9,"&gt;="&amp;DY$9)</f>
        <v>1216.3660898662404</v>
      </c>
      <c r="DZ107" s="33">
        <f>DY107+IF(DZ1=$Q$53,условия!$Q$166*SUMIFS(условия!$168:$168,условия!$8:$8,"&lt;="&amp;DZ$9,условия!$9:$9,"&gt;="&amp;DZ$9),0)+DZ51*условия!$Q$166*SUMIFS(условия!$168:$168,условия!$8:$8,"&lt;="&amp;DZ$9,условия!$9:$9,"&gt;="&amp;DZ$9)</f>
        <v>1216.3660898662404</v>
      </c>
      <c r="EA107" s="33">
        <f>DZ107+IF(EA1=$Q$53,условия!$Q$166*SUMIFS(условия!$168:$168,условия!$8:$8,"&lt;="&amp;EA$9,условия!$9:$9,"&gt;="&amp;EA$9),0)+EA51*условия!$Q$166*SUMIFS(условия!$168:$168,условия!$8:$8,"&lt;="&amp;EA$9,условия!$9:$9,"&gt;="&amp;EA$9)</f>
        <v>1216.3660898662404</v>
      </c>
      <c r="EB107" s="33">
        <f>EA107+IF(EB1=$Q$53,условия!$Q$166*SUMIFS(условия!$168:$168,условия!$8:$8,"&lt;="&amp;EB$9,условия!$9:$9,"&gt;="&amp;EB$9),0)+EB51*условия!$Q$166*SUMIFS(условия!$168:$168,условия!$8:$8,"&lt;="&amp;EB$9,условия!$9:$9,"&gt;="&amp;EB$9)</f>
        <v>1216.3660898662404</v>
      </c>
      <c r="EC107" s="33">
        <f>EB107+IF(EC1=$Q$53,условия!$Q$166*SUMIFS(условия!$168:$168,условия!$8:$8,"&lt;="&amp;EC$9,условия!$9:$9,"&gt;="&amp;EC$9),0)+EC51*условия!$Q$166*SUMIFS(условия!$168:$168,условия!$8:$8,"&lt;="&amp;EC$9,условия!$9:$9,"&gt;="&amp;EC$9)</f>
        <v>1216.3660898662404</v>
      </c>
      <c r="ED107" s="33">
        <f>EC107+IF(ED1=$Q$53,условия!$Q$166*SUMIFS(условия!$168:$168,условия!$8:$8,"&lt;="&amp;ED$9,условия!$9:$9,"&gt;="&amp;ED$9),0)+ED51*условия!$Q$166*SUMIFS(условия!$168:$168,условия!$8:$8,"&lt;="&amp;ED$9,условия!$9:$9,"&gt;="&amp;ED$9)</f>
        <v>1216.3660898662404</v>
      </c>
      <c r="EE107" s="33">
        <f>ED107+IF(EE1=$Q$53,условия!$Q$166*SUMIFS(условия!$168:$168,условия!$8:$8,"&lt;="&amp;EE$9,условия!$9:$9,"&gt;="&amp;EE$9),0)+EE51*условия!$Q$166*SUMIFS(условия!$168:$168,условия!$8:$8,"&lt;="&amp;EE$9,условия!$9:$9,"&gt;="&amp;EE$9)</f>
        <v>1216.3660898662404</v>
      </c>
      <c r="EF107" s="33">
        <f>EE107+IF(EF1=$Q$53,условия!$Q$166*SUMIFS(условия!$168:$168,условия!$8:$8,"&lt;="&amp;EF$9,условия!$9:$9,"&gt;="&amp;EF$9),0)+EF51*условия!$Q$166*SUMIFS(условия!$168:$168,условия!$8:$8,"&lt;="&amp;EF$9,условия!$9:$9,"&gt;="&amp;EF$9)</f>
        <v>1216.3660898662404</v>
      </c>
      <c r="EG107" s="33">
        <f>EF107+IF(EG1=$Q$53,условия!$Q$166*SUMIFS(условия!$168:$168,условия!$8:$8,"&lt;="&amp;EG$9,условия!$9:$9,"&gt;="&amp;EG$9),0)+EG51*условия!$Q$166*SUMIFS(условия!$168:$168,условия!$8:$8,"&lt;="&amp;EG$9,условия!$9:$9,"&gt;="&amp;EG$9)</f>
        <v>1216.3660898662404</v>
      </c>
      <c r="EH107" s="33">
        <f>EG107+IF(EH1=$Q$53,условия!$Q$166*SUMIFS(условия!$168:$168,условия!$8:$8,"&lt;="&amp;EH$9,условия!$9:$9,"&gt;="&amp;EH$9),0)+EH51*условия!$Q$166*SUMIFS(условия!$168:$168,условия!$8:$8,"&lt;="&amp;EH$9,условия!$9:$9,"&gt;="&amp;EH$9)</f>
        <v>1216.3660898662404</v>
      </c>
      <c r="EI107" s="33">
        <f>EH107+IF(EI1=$Q$53,условия!$Q$166*SUMIFS(условия!$168:$168,условия!$8:$8,"&lt;="&amp;EI$9,условия!$9:$9,"&gt;="&amp;EI$9),0)+EI51*условия!$Q$166*SUMIFS(условия!$168:$168,условия!$8:$8,"&lt;="&amp;EI$9,условия!$9:$9,"&gt;="&amp;EI$9)</f>
        <v>1216.3660898662404</v>
      </c>
      <c r="EJ107" s="3"/>
      <c r="EK107" s="3"/>
    </row>
    <row r="108" spans="1:14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</row>
    <row r="109" spans="1:141" x14ac:dyDescent="0.25">
      <c r="A109" s="3"/>
      <c r="B109" s="3"/>
      <c r="C109" s="3"/>
      <c r="D109" s="3"/>
      <c r="E109" s="3"/>
      <c r="F109" s="10" t="str">
        <f>KPI!$F$113</f>
        <v>ФОТ прочего управленческого персонала</v>
      </c>
      <c r="G109" s="3"/>
      <c r="H109" s="3"/>
      <c r="I109" s="3"/>
      <c r="J109" s="5" t="str">
        <f>IF($F109="","",INDEX(KPI!$I$11:$I$275,SUMIFS(KPI!$E$11:$E$275,KPI!$F$11:$F$275,$F109)))</f>
        <v>тыс.руб.</v>
      </c>
      <c r="K109" s="3"/>
      <c r="L109" s="3"/>
      <c r="M109" s="3"/>
      <c r="N109" s="3"/>
      <c r="O109" s="3"/>
      <c r="P109" s="3"/>
      <c r="Q109" s="12">
        <f>SUM(S109:EJ109)</f>
        <v>114056.34847376165</v>
      </c>
      <c r="R109" s="3"/>
      <c r="S109" s="55"/>
      <c r="T109" s="33">
        <f>SUMIFS(условия!$170:$170,условия!$8:$8,"&lt;="&amp;T$9,условия!$9:$9,"&gt;="&amp;T$9)*SUMIFS(условия!$172:$172,условия!$8:$8,"&lt;="&amp;T$9,условия!$9:$9,"&gt;="&amp;T$9)</f>
        <v>240</v>
      </c>
      <c r="U109" s="33">
        <f>SUMIFS(условия!$170:$170,условия!$8:$8,"&lt;="&amp;U$9,условия!$9:$9,"&gt;="&amp;U$9)*SUMIFS(условия!$172:$172,условия!$8:$8,"&lt;="&amp;U$9,условия!$9:$9,"&gt;="&amp;U$9)</f>
        <v>240</v>
      </c>
      <c r="V109" s="33">
        <f>SUMIFS(условия!$170:$170,условия!$8:$8,"&lt;="&amp;V$9,условия!$9:$9,"&gt;="&amp;V$9)*SUMIFS(условия!$172:$172,условия!$8:$8,"&lt;="&amp;V$9,условия!$9:$9,"&gt;="&amp;V$9)</f>
        <v>240</v>
      </c>
      <c r="W109" s="33">
        <f>SUMIFS(условия!$170:$170,условия!$8:$8,"&lt;="&amp;W$9,условия!$9:$9,"&gt;="&amp;W$9)*SUMIFS(условия!$172:$172,условия!$8:$8,"&lt;="&amp;W$9,условия!$9:$9,"&gt;="&amp;W$9)</f>
        <v>240</v>
      </c>
      <c r="X109" s="33">
        <f>SUMIFS(условия!$170:$170,условия!$8:$8,"&lt;="&amp;X$9,условия!$9:$9,"&gt;="&amp;X$9)*SUMIFS(условия!$172:$172,условия!$8:$8,"&lt;="&amp;X$9,условия!$9:$9,"&gt;="&amp;X$9)</f>
        <v>240</v>
      </c>
      <c r="Y109" s="33">
        <f>SUMIFS(условия!$170:$170,условия!$8:$8,"&lt;="&amp;Y$9,условия!$9:$9,"&gt;="&amp;Y$9)*SUMIFS(условия!$172:$172,условия!$8:$8,"&lt;="&amp;Y$9,условия!$9:$9,"&gt;="&amp;Y$9)</f>
        <v>240</v>
      </c>
      <c r="Z109" s="33">
        <f>SUMIFS(условия!$170:$170,условия!$8:$8,"&lt;="&amp;Z$9,условия!$9:$9,"&gt;="&amp;Z$9)*SUMIFS(условия!$172:$172,условия!$8:$8,"&lt;="&amp;Z$9,условия!$9:$9,"&gt;="&amp;Z$9)</f>
        <v>240</v>
      </c>
      <c r="AA109" s="33">
        <f>SUMIFS(условия!$170:$170,условия!$8:$8,"&lt;="&amp;AA$9,условия!$9:$9,"&gt;="&amp;AA$9)*SUMIFS(условия!$172:$172,условия!$8:$8,"&lt;="&amp;AA$9,условия!$9:$9,"&gt;="&amp;AA$9)</f>
        <v>240</v>
      </c>
      <c r="AB109" s="33">
        <f>SUMIFS(условия!$170:$170,условия!$8:$8,"&lt;="&amp;AB$9,условия!$9:$9,"&gt;="&amp;AB$9)*SUMIFS(условия!$172:$172,условия!$8:$8,"&lt;="&amp;AB$9,условия!$9:$9,"&gt;="&amp;AB$9)</f>
        <v>240</v>
      </c>
      <c r="AC109" s="33">
        <f>SUMIFS(условия!$170:$170,условия!$8:$8,"&lt;="&amp;AC$9,условия!$9:$9,"&gt;="&amp;AC$9)*SUMIFS(условия!$172:$172,условия!$8:$8,"&lt;="&amp;AC$9,условия!$9:$9,"&gt;="&amp;AC$9)</f>
        <v>240</v>
      </c>
      <c r="AD109" s="33">
        <f>SUMIFS(условия!$170:$170,условия!$8:$8,"&lt;="&amp;AD$9,условия!$9:$9,"&gt;="&amp;AD$9)*SUMIFS(условия!$172:$172,условия!$8:$8,"&lt;="&amp;AD$9,условия!$9:$9,"&gt;="&amp;AD$9)</f>
        <v>240</v>
      </c>
      <c r="AE109" s="33">
        <f>SUMIFS(условия!$170:$170,условия!$8:$8,"&lt;="&amp;AE$9,условия!$9:$9,"&gt;="&amp;AE$9)*SUMIFS(условия!$172:$172,условия!$8:$8,"&lt;="&amp;AE$9,условия!$9:$9,"&gt;="&amp;AE$9)</f>
        <v>240</v>
      </c>
      <c r="AF109" s="33">
        <f>SUMIFS(условия!$170:$170,условия!$8:$8,"&lt;="&amp;AF$9,условия!$9:$9,"&gt;="&amp;AF$9)*SUMIFS(условия!$172:$172,условия!$8:$8,"&lt;="&amp;AF$9,условия!$9:$9,"&gt;="&amp;AF$9)</f>
        <v>588</v>
      </c>
      <c r="AG109" s="33">
        <f>SUMIFS(условия!$170:$170,условия!$8:$8,"&lt;="&amp;AG$9,условия!$9:$9,"&gt;="&amp;AG$9)*SUMIFS(условия!$172:$172,условия!$8:$8,"&lt;="&amp;AG$9,условия!$9:$9,"&gt;="&amp;AG$9)</f>
        <v>588</v>
      </c>
      <c r="AH109" s="33">
        <f>SUMIFS(условия!$170:$170,условия!$8:$8,"&lt;="&amp;AH$9,условия!$9:$9,"&gt;="&amp;AH$9)*SUMIFS(условия!$172:$172,условия!$8:$8,"&lt;="&amp;AH$9,условия!$9:$9,"&gt;="&amp;AH$9)</f>
        <v>588</v>
      </c>
      <c r="AI109" s="33">
        <f>SUMIFS(условия!$170:$170,условия!$8:$8,"&lt;="&amp;AI$9,условия!$9:$9,"&gt;="&amp;AI$9)*SUMIFS(условия!$172:$172,условия!$8:$8,"&lt;="&amp;AI$9,условия!$9:$9,"&gt;="&amp;AI$9)</f>
        <v>588</v>
      </c>
      <c r="AJ109" s="33">
        <f>SUMIFS(условия!$170:$170,условия!$8:$8,"&lt;="&amp;AJ$9,условия!$9:$9,"&gt;="&amp;AJ$9)*SUMIFS(условия!$172:$172,условия!$8:$8,"&lt;="&amp;AJ$9,условия!$9:$9,"&gt;="&amp;AJ$9)</f>
        <v>588</v>
      </c>
      <c r="AK109" s="33">
        <f>SUMIFS(условия!$170:$170,условия!$8:$8,"&lt;="&amp;AK$9,условия!$9:$9,"&gt;="&amp;AK$9)*SUMIFS(условия!$172:$172,условия!$8:$8,"&lt;="&amp;AK$9,условия!$9:$9,"&gt;="&amp;AK$9)</f>
        <v>588</v>
      </c>
      <c r="AL109" s="33">
        <f>SUMIFS(условия!$170:$170,условия!$8:$8,"&lt;="&amp;AL$9,условия!$9:$9,"&gt;="&amp;AL$9)*SUMIFS(условия!$172:$172,условия!$8:$8,"&lt;="&amp;AL$9,условия!$9:$9,"&gt;="&amp;AL$9)</f>
        <v>588</v>
      </c>
      <c r="AM109" s="33">
        <f>SUMIFS(условия!$170:$170,условия!$8:$8,"&lt;="&amp;AM$9,условия!$9:$9,"&gt;="&amp;AM$9)*SUMIFS(условия!$172:$172,условия!$8:$8,"&lt;="&amp;AM$9,условия!$9:$9,"&gt;="&amp;AM$9)</f>
        <v>588</v>
      </c>
      <c r="AN109" s="33">
        <f>SUMIFS(условия!$170:$170,условия!$8:$8,"&lt;="&amp;AN$9,условия!$9:$9,"&gt;="&amp;AN$9)*SUMIFS(условия!$172:$172,условия!$8:$8,"&lt;="&amp;AN$9,условия!$9:$9,"&gt;="&amp;AN$9)</f>
        <v>588</v>
      </c>
      <c r="AO109" s="33">
        <f>SUMIFS(условия!$170:$170,условия!$8:$8,"&lt;="&amp;AO$9,условия!$9:$9,"&gt;="&amp;AO$9)*SUMIFS(условия!$172:$172,условия!$8:$8,"&lt;="&amp;AO$9,условия!$9:$9,"&gt;="&amp;AO$9)</f>
        <v>588</v>
      </c>
      <c r="AP109" s="33">
        <f>SUMIFS(условия!$170:$170,условия!$8:$8,"&lt;="&amp;AP$9,условия!$9:$9,"&gt;="&amp;AP$9)*SUMIFS(условия!$172:$172,условия!$8:$8,"&lt;="&amp;AP$9,условия!$9:$9,"&gt;="&amp;AP$9)</f>
        <v>588</v>
      </c>
      <c r="AQ109" s="33">
        <f>SUMIFS(условия!$170:$170,условия!$8:$8,"&lt;="&amp;AQ$9,условия!$9:$9,"&gt;="&amp;AQ$9)*SUMIFS(условия!$172:$172,условия!$8:$8,"&lt;="&amp;AQ$9,условия!$9:$9,"&gt;="&amp;AQ$9)</f>
        <v>588</v>
      </c>
      <c r="AR109" s="33">
        <f>SUMIFS(условия!$170:$170,условия!$8:$8,"&lt;="&amp;AR$9,условия!$9:$9,"&gt;="&amp;AR$9)*SUMIFS(условия!$172:$172,условия!$8:$8,"&lt;="&amp;AR$9,условия!$9:$9,"&gt;="&amp;AR$9)</f>
        <v>719.04000000000008</v>
      </c>
      <c r="AS109" s="33">
        <f>SUMIFS(условия!$170:$170,условия!$8:$8,"&lt;="&amp;AS$9,условия!$9:$9,"&gt;="&amp;AS$9)*SUMIFS(условия!$172:$172,условия!$8:$8,"&lt;="&amp;AS$9,условия!$9:$9,"&gt;="&amp;AS$9)</f>
        <v>719.04000000000008</v>
      </c>
      <c r="AT109" s="33">
        <f>SUMIFS(условия!$170:$170,условия!$8:$8,"&lt;="&amp;AT$9,условия!$9:$9,"&gt;="&amp;AT$9)*SUMIFS(условия!$172:$172,условия!$8:$8,"&lt;="&amp;AT$9,условия!$9:$9,"&gt;="&amp;AT$9)</f>
        <v>719.04000000000008</v>
      </c>
      <c r="AU109" s="33">
        <f>SUMIFS(условия!$170:$170,условия!$8:$8,"&lt;="&amp;AU$9,условия!$9:$9,"&gt;="&amp;AU$9)*SUMIFS(условия!$172:$172,условия!$8:$8,"&lt;="&amp;AU$9,условия!$9:$9,"&gt;="&amp;AU$9)</f>
        <v>719.04000000000008</v>
      </c>
      <c r="AV109" s="33">
        <f>SUMIFS(условия!$170:$170,условия!$8:$8,"&lt;="&amp;AV$9,условия!$9:$9,"&gt;="&amp;AV$9)*SUMIFS(условия!$172:$172,условия!$8:$8,"&lt;="&amp;AV$9,условия!$9:$9,"&gt;="&amp;AV$9)</f>
        <v>719.04000000000008</v>
      </c>
      <c r="AW109" s="33">
        <f>SUMIFS(условия!$170:$170,условия!$8:$8,"&lt;="&amp;AW$9,условия!$9:$9,"&gt;="&amp;AW$9)*SUMIFS(условия!$172:$172,условия!$8:$8,"&lt;="&amp;AW$9,условия!$9:$9,"&gt;="&amp;AW$9)</f>
        <v>719.04000000000008</v>
      </c>
      <c r="AX109" s="33">
        <f>SUMIFS(условия!$170:$170,условия!$8:$8,"&lt;="&amp;AX$9,условия!$9:$9,"&gt;="&amp;AX$9)*SUMIFS(условия!$172:$172,условия!$8:$8,"&lt;="&amp;AX$9,условия!$9:$9,"&gt;="&amp;AX$9)</f>
        <v>719.04000000000008</v>
      </c>
      <c r="AY109" s="33">
        <f>SUMIFS(условия!$170:$170,условия!$8:$8,"&lt;="&amp;AY$9,условия!$9:$9,"&gt;="&amp;AY$9)*SUMIFS(условия!$172:$172,условия!$8:$8,"&lt;="&amp;AY$9,условия!$9:$9,"&gt;="&amp;AY$9)</f>
        <v>719.04000000000008</v>
      </c>
      <c r="AZ109" s="33">
        <f>SUMIFS(условия!$170:$170,условия!$8:$8,"&lt;="&amp;AZ$9,условия!$9:$9,"&gt;="&amp;AZ$9)*SUMIFS(условия!$172:$172,условия!$8:$8,"&lt;="&amp;AZ$9,условия!$9:$9,"&gt;="&amp;AZ$9)</f>
        <v>719.04000000000008</v>
      </c>
      <c r="BA109" s="33">
        <f>SUMIFS(условия!$170:$170,условия!$8:$8,"&lt;="&amp;BA$9,условия!$9:$9,"&gt;="&amp;BA$9)*SUMIFS(условия!$172:$172,условия!$8:$8,"&lt;="&amp;BA$9,условия!$9:$9,"&gt;="&amp;BA$9)</f>
        <v>719.04000000000008</v>
      </c>
      <c r="BB109" s="33">
        <f>SUMIFS(условия!$170:$170,условия!$8:$8,"&lt;="&amp;BB$9,условия!$9:$9,"&gt;="&amp;BB$9)*SUMIFS(условия!$172:$172,условия!$8:$8,"&lt;="&amp;BB$9,условия!$9:$9,"&gt;="&amp;BB$9)</f>
        <v>719.04000000000008</v>
      </c>
      <c r="BC109" s="33">
        <f>SUMIFS(условия!$170:$170,условия!$8:$8,"&lt;="&amp;BC$9,условия!$9:$9,"&gt;="&amp;BC$9)*SUMIFS(условия!$172:$172,условия!$8:$8,"&lt;="&amp;BC$9,условия!$9:$9,"&gt;="&amp;BC$9)</f>
        <v>719.04000000000008</v>
      </c>
      <c r="BD109" s="33">
        <f>SUMIFS(условия!$170:$170,условия!$8:$8,"&lt;="&amp;BD$9,условия!$9:$9,"&gt;="&amp;BD$9)*SUMIFS(условия!$172:$172,условия!$8:$8,"&lt;="&amp;BD$9,условия!$9:$9,"&gt;="&amp;BD$9)</f>
        <v>970.70400000000018</v>
      </c>
      <c r="BE109" s="33">
        <f>SUMIFS(условия!$170:$170,условия!$8:$8,"&lt;="&amp;BE$9,условия!$9:$9,"&gt;="&amp;BE$9)*SUMIFS(условия!$172:$172,условия!$8:$8,"&lt;="&amp;BE$9,условия!$9:$9,"&gt;="&amp;BE$9)</f>
        <v>970.70400000000018</v>
      </c>
      <c r="BF109" s="33">
        <f>SUMIFS(условия!$170:$170,условия!$8:$8,"&lt;="&amp;BF$9,условия!$9:$9,"&gt;="&amp;BF$9)*SUMIFS(условия!$172:$172,условия!$8:$8,"&lt;="&amp;BF$9,условия!$9:$9,"&gt;="&amp;BF$9)</f>
        <v>970.70400000000018</v>
      </c>
      <c r="BG109" s="33">
        <f>SUMIFS(условия!$170:$170,условия!$8:$8,"&lt;="&amp;BG$9,условия!$9:$9,"&gt;="&amp;BG$9)*SUMIFS(условия!$172:$172,условия!$8:$8,"&lt;="&amp;BG$9,условия!$9:$9,"&gt;="&amp;BG$9)</f>
        <v>970.70400000000018</v>
      </c>
      <c r="BH109" s="33">
        <f>SUMIFS(условия!$170:$170,условия!$8:$8,"&lt;="&amp;BH$9,условия!$9:$9,"&gt;="&amp;BH$9)*SUMIFS(условия!$172:$172,условия!$8:$8,"&lt;="&amp;BH$9,условия!$9:$9,"&gt;="&amp;BH$9)</f>
        <v>970.70400000000018</v>
      </c>
      <c r="BI109" s="33">
        <f>SUMIFS(условия!$170:$170,условия!$8:$8,"&lt;="&amp;BI$9,условия!$9:$9,"&gt;="&amp;BI$9)*SUMIFS(условия!$172:$172,условия!$8:$8,"&lt;="&amp;BI$9,условия!$9:$9,"&gt;="&amp;BI$9)</f>
        <v>970.70400000000018</v>
      </c>
      <c r="BJ109" s="33">
        <f>SUMIFS(условия!$170:$170,условия!$8:$8,"&lt;="&amp;BJ$9,условия!$9:$9,"&gt;="&amp;BJ$9)*SUMIFS(условия!$172:$172,условия!$8:$8,"&lt;="&amp;BJ$9,условия!$9:$9,"&gt;="&amp;BJ$9)</f>
        <v>970.70400000000018</v>
      </c>
      <c r="BK109" s="33">
        <f>SUMIFS(условия!$170:$170,условия!$8:$8,"&lt;="&amp;BK$9,условия!$9:$9,"&gt;="&amp;BK$9)*SUMIFS(условия!$172:$172,условия!$8:$8,"&lt;="&amp;BK$9,условия!$9:$9,"&gt;="&amp;BK$9)</f>
        <v>970.70400000000018</v>
      </c>
      <c r="BL109" s="33">
        <f>SUMIFS(условия!$170:$170,условия!$8:$8,"&lt;="&amp;BL$9,условия!$9:$9,"&gt;="&amp;BL$9)*SUMIFS(условия!$172:$172,условия!$8:$8,"&lt;="&amp;BL$9,условия!$9:$9,"&gt;="&amp;BL$9)</f>
        <v>970.70400000000018</v>
      </c>
      <c r="BM109" s="33">
        <f>SUMIFS(условия!$170:$170,условия!$8:$8,"&lt;="&amp;BM$9,условия!$9:$9,"&gt;="&amp;BM$9)*SUMIFS(условия!$172:$172,условия!$8:$8,"&lt;="&amp;BM$9,условия!$9:$9,"&gt;="&amp;BM$9)</f>
        <v>970.70400000000018</v>
      </c>
      <c r="BN109" s="33">
        <f>SUMIFS(условия!$170:$170,условия!$8:$8,"&lt;="&amp;BN$9,условия!$9:$9,"&gt;="&amp;BN$9)*SUMIFS(условия!$172:$172,условия!$8:$8,"&lt;="&amp;BN$9,условия!$9:$9,"&gt;="&amp;BN$9)</f>
        <v>970.70400000000018</v>
      </c>
      <c r="BO109" s="33">
        <f>SUMIFS(условия!$170:$170,условия!$8:$8,"&lt;="&amp;BO$9,условия!$9:$9,"&gt;="&amp;BO$9)*SUMIFS(условия!$172:$172,условия!$8:$8,"&lt;="&amp;BO$9,условия!$9:$9,"&gt;="&amp;BO$9)</f>
        <v>970.70400000000018</v>
      </c>
      <c r="BP109" s="33">
        <f>SUMIFS(условия!$170:$170,условия!$8:$8,"&lt;="&amp;BP$9,условия!$9:$9,"&gt;="&amp;BP$9)*SUMIFS(условия!$172:$172,условия!$8:$8,"&lt;="&amp;BP$9,условия!$9:$9,"&gt;="&amp;BP$9)</f>
        <v>1038.6532800000004</v>
      </c>
      <c r="BQ109" s="33">
        <f>SUMIFS(условия!$170:$170,условия!$8:$8,"&lt;="&amp;BQ$9,условия!$9:$9,"&gt;="&amp;BQ$9)*SUMIFS(условия!$172:$172,условия!$8:$8,"&lt;="&amp;BQ$9,условия!$9:$9,"&gt;="&amp;BQ$9)</f>
        <v>1038.6532800000004</v>
      </c>
      <c r="BR109" s="33">
        <f>SUMIFS(условия!$170:$170,условия!$8:$8,"&lt;="&amp;BR$9,условия!$9:$9,"&gt;="&amp;BR$9)*SUMIFS(условия!$172:$172,условия!$8:$8,"&lt;="&amp;BR$9,условия!$9:$9,"&gt;="&amp;BR$9)</f>
        <v>1038.6532800000004</v>
      </c>
      <c r="BS109" s="33">
        <f>SUMIFS(условия!$170:$170,условия!$8:$8,"&lt;="&amp;BS$9,условия!$9:$9,"&gt;="&amp;BS$9)*SUMIFS(условия!$172:$172,условия!$8:$8,"&lt;="&amp;BS$9,условия!$9:$9,"&gt;="&amp;BS$9)</f>
        <v>1038.6532800000004</v>
      </c>
      <c r="BT109" s="33">
        <f>SUMIFS(условия!$170:$170,условия!$8:$8,"&lt;="&amp;BT$9,условия!$9:$9,"&gt;="&amp;BT$9)*SUMIFS(условия!$172:$172,условия!$8:$8,"&lt;="&amp;BT$9,условия!$9:$9,"&gt;="&amp;BT$9)</f>
        <v>1038.6532800000004</v>
      </c>
      <c r="BU109" s="33">
        <f>SUMIFS(условия!$170:$170,условия!$8:$8,"&lt;="&amp;BU$9,условия!$9:$9,"&gt;="&amp;BU$9)*SUMIFS(условия!$172:$172,условия!$8:$8,"&lt;="&amp;BU$9,условия!$9:$9,"&gt;="&amp;BU$9)</f>
        <v>1038.6532800000004</v>
      </c>
      <c r="BV109" s="33">
        <f>SUMIFS(условия!$170:$170,условия!$8:$8,"&lt;="&amp;BV$9,условия!$9:$9,"&gt;="&amp;BV$9)*SUMIFS(условия!$172:$172,условия!$8:$8,"&lt;="&amp;BV$9,условия!$9:$9,"&gt;="&amp;BV$9)</f>
        <v>1038.6532800000004</v>
      </c>
      <c r="BW109" s="33">
        <f>SUMIFS(условия!$170:$170,условия!$8:$8,"&lt;="&amp;BW$9,условия!$9:$9,"&gt;="&amp;BW$9)*SUMIFS(условия!$172:$172,условия!$8:$8,"&lt;="&amp;BW$9,условия!$9:$9,"&gt;="&amp;BW$9)</f>
        <v>1038.6532800000004</v>
      </c>
      <c r="BX109" s="33">
        <f>SUMIFS(условия!$170:$170,условия!$8:$8,"&lt;="&amp;BX$9,условия!$9:$9,"&gt;="&amp;BX$9)*SUMIFS(условия!$172:$172,условия!$8:$8,"&lt;="&amp;BX$9,условия!$9:$9,"&gt;="&amp;BX$9)</f>
        <v>1038.6532800000004</v>
      </c>
      <c r="BY109" s="33">
        <f>SUMIFS(условия!$170:$170,условия!$8:$8,"&lt;="&amp;BY$9,условия!$9:$9,"&gt;="&amp;BY$9)*SUMIFS(условия!$172:$172,условия!$8:$8,"&lt;="&amp;BY$9,условия!$9:$9,"&gt;="&amp;BY$9)</f>
        <v>1038.6532800000004</v>
      </c>
      <c r="BZ109" s="33">
        <f>SUMIFS(условия!$170:$170,условия!$8:$8,"&lt;="&amp;BZ$9,условия!$9:$9,"&gt;="&amp;BZ$9)*SUMIFS(условия!$172:$172,условия!$8:$8,"&lt;="&amp;BZ$9,условия!$9:$9,"&gt;="&amp;BZ$9)</f>
        <v>1038.6532800000004</v>
      </c>
      <c r="CA109" s="33">
        <f>SUMIFS(условия!$170:$170,условия!$8:$8,"&lt;="&amp;CA$9,условия!$9:$9,"&gt;="&amp;CA$9)*SUMIFS(условия!$172:$172,условия!$8:$8,"&lt;="&amp;CA$9,условия!$9:$9,"&gt;="&amp;CA$9)</f>
        <v>1038.6532800000004</v>
      </c>
      <c r="CB109" s="33">
        <f>SUMIFS(условия!$170:$170,условия!$8:$8,"&lt;="&amp;CB$9,условия!$9:$9,"&gt;="&amp;CB$9)*SUMIFS(условия!$172:$172,условия!$8:$8,"&lt;="&amp;CB$9,условия!$9:$9,"&gt;="&amp;CB$9)</f>
        <v>1100.9724768000003</v>
      </c>
      <c r="CC109" s="33">
        <f>SUMIFS(условия!$170:$170,условия!$8:$8,"&lt;="&amp;CC$9,условия!$9:$9,"&gt;="&amp;CC$9)*SUMIFS(условия!$172:$172,условия!$8:$8,"&lt;="&amp;CC$9,условия!$9:$9,"&gt;="&amp;CC$9)</f>
        <v>1100.9724768000003</v>
      </c>
      <c r="CD109" s="33">
        <f>SUMIFS(условия!$170:$170,условия!$8:$8,"&lt;="&amp;CD$9,условия!$9:$9,"&gt;="&amp;CD$9)*SUMIFS(условия!$172:$172,условия!$8:$8,"&lt;="&amp;CD$9,условия!$9:$9,"&gt;="&amp;CD$9)</f>
        <v>1100.9724768000003</v>
      </c>
      <c r="CE109" s="33">
        <f>SUMIFS(условия!$170:$170,условия!$8:$8,"&lt;="&amp;CE$9,условия!$9:$9,"&gt;="&amp;CE$9)*SUMIFS(условия!$172:$172,условия!$8:$8,"&lt;="&amp;CE$9,условия!$9:$9,"&gt;="&amp;CE$9)</f>
        <v>1100.9724768000003</v>
      </c>
      <c r="CF109" s="33">
        <f>SUMIFS(условия!$170:$170,условия!$8:$8,"&lt;="&amp;CF$9,условия!$9:$9,"&gt;="&amp;CF$9)*SUMIFS(условия!$172:$172,условия!$8:$8,"&lt;="&amp;CF$9,условия!$9:$9,"&gt;="&amp;CF$9)</f>
        <v>1100.9724768000003</v>
      </c>
      <c r="CG109" s="33">
        <f>SUMIFS(условия!$170:$170,условия!$8:$8,"&lt;="&amp;CG$9,условия!$9:$9,"&gt;="&amp;CG$9)*SUMIFS(условия!$172:$172,условия!$8:$8,"&lt;="&amp;CG$9,условия!$9:$9,"&gt;="&amp;CG$9)</f>
        <v>1100.9724768000003</v>
      </c>
      <c r="CH109" s="33">
        <f>SUMIFS(условия!$170:$170,условия!$8:$8,"&lt;="&amp;CH$9,условия!$9:$9,"&gt;="&amp;CH$9)*SUMIFS(условия!$172:$172,условия!$8:$8,"&lt;="&amp;CH$9,условия!$9:$9,"&gt;="&amp;CH$9)</f>
        <v>1100.9724768000003</v>
      </c>
      <c r="CI109" s="33">
        <f>SUMIFS(условия!$170:$170,условия!$8:$8,"&lt;="&amp;CI$9,условия!$9:$9,"&gt;="&amp;CI$9)*SUMIFS(условия!$172:$172,условия!$8:$8,"&lt;="&amp;CI$9,условия!$9:$9,"&gt;="&amp;CI$9)</f>
        <v>1100.9724768000003</v>
      </c>
      <c r="CJ109" s="33">
        <f>SUMIFS(условия!$170:$170,условия!$8:$8,"&lt;="&amp;CJ$9,условия!$9:$9,"&gt;="&amp;CJ$9)*SUMIFS(условия!$172:$172,условия!$8:$8,"&lt;="&amp;CJ$9,условия!$9:$9,"&gt;="&amp;CJ$9)</f>
        <v>1100.9724768000003</v>
      </c>
      <c r="CK109" s="33">
        <f>SUMIFS(условия!$170:$170,условия!$8:$8,"&lt;="&amp;CK$9,условия!$9:$9,"&gt;="&amp;CK$9)*SUMIFS(условия!$172:$172,условия!$8:$8,"&lt;="&amp;CK$9,условия!$9:$9,"&gt;="&amp;CK$9)</f>
        <v>1100.9724768000003</v>
      </c>
      <c r="CL109" s="33">
        <f>SUMIFS(условия!$170:$170,условия!$8:$8,"&lt;="&amp;CL$9,условия!$9:$9,"&gt;="&amp;CL$9)*SUMIFS(условия!$172:$172,условия!$8:$8,"&lt;="&amp;CL$9,условия!$9:$9,"&gt;="&amp;CL$9)</f>
        <v>1100.9724768000003</v>
      </c>
      <c r="CM109" s="33">
        <f>SUMIFS(условия!$170:$170,условия!$8:$8,"&lt;="&amp;CM$9,условия!$9:$9,"&gt;="&amp;CM$9)*SUMIFS(условия!$172:$172,условия!$8:$8,"&lt;="&amp;CM$9,условия!$9:$9,"&gt;="&amp;CM$9)</f>
        <v>1100.9724768000003</v>
      </c>
      <c r="CN109" s="33">
        <f>SUMIFS(условия!$170:$170,условия!$8:$8,"&lt;="&amp;CN$9,условия!$9:$9,"&gt;="&amp;CN$9)*SUMIFS(условия!$172:$172,условия!$8:$8,"&lt;="&amp;CN$9,условия!$9:$9,"&gt;="&amp;CN$9)</f>
        <v>1156.0211006400004</v>
      </c>
      <c r="CO109" s="33">
        <f>SUMIFS(условия!$170:$170,условия!$8:$8,"&lt;="&amp;CO$9,условия!$9:$9,"&gt;="&amp;CO$9)*SUMIFS(условия!$172:$172,условия!$8:$8,"&lt;="&amp;CO$9,условия!$9:$9,"&gt;="&amp;CO$9)</f>
        <v>1156.0211006400004</v>
      </c>
      <c r="CP109" s="33">
        <f>SUMIFS(условия!$170:$170,условия!$8:$8,"&lt;="&amp;CP$9,условия!$9:$9,"&gt;="&amp;CP$9)*SUMIFS(условия!$172:$172,условия!$8:$8,"&lt;="&amp;CP$9,условия!$9:$9,"&gt;="&amp;CP$9)</f>
        <v>1156.0211006400004</v>
      </c>
      <c r="CQ109" s="33">
        <f>SUMIFS(условия!$170:$170,условия!$8:$8,"&lt;="&amp;CQ$9,условия!$9:$9,"&gt;="&amp;CQ$9)*SUMIFS(условия!$172:$172,условия!$8:$8,"&lt;="&amp;CQ$9,условия!$9:$9,"&gt;="&amp;CQ$9)</f>
        <v>1156.0211006400004</v>
      </c>
      <c r="CR109" s="33">
        <f>SUMIFS(условия!$170:$170,условия!$8:$8,"&lt;="&amp;CR$9,условия!$9:$9,"&gt;="&amp;CR$9)*SUMIFS(условия!$172:$172,условия!$8:$8,"&lt;="&amp;CR$9,условия!$9:$9,"&gt;="&amp;CR$9)</f>
        <v>1156.0211006400004</v>
      </c>
      <c r="CS109" s="33">
        <f>SUMIFS(условия!$170:$170,условия!$8:$8,"&lt;="&amp;CS$9,условия!$9:$9,"&gt;="&amp;CS$9)*SUMIFS(условия!$172:$172,условия!$8:$8,"&lt;="&amp;CS$9,условия!$9:$9,"&gt;="&amp;CS$9)</f>
        <v>1156.0211006400004</v>
      </c>
      <c r="CT109" s="33">
        <f>SUMIFS(условия!$170:$170,условия!$8:$8,"&lt;="&amp;CT$9,условия!$9:$9,"&gt;="&amp;CT$9)*SUMIFS(условия!$172:$172,условия!$8:$8,"&lt;="&amp;CT$9,условия!$9:$9,"&gt;="&amp;CT$9)</f>
        <v>1156.0211006400004</v>
      </c>
      <c r="CU109" s="33">
        <f>SUMIFS(условия!$170:$170,условия!$8:$8,"&lt;="&amp;CU$9,условия!$9:$9,"&gt;="&amp;CU$9)*SUMIFS(условия!$172:$172,условия!$8:$8,"&lt;="&amp;CU$9,условия!$9:$9,"&gt;="&amp;CU$9)</f>
        <v>1156.0211006400004</v>
      </c>
      <c r="CV109" s="33">
        <f>SUMIFS(условия!$170:$170,условия!$8:$8,"&lt;="&amp;CV$9,условия!$9:$9,"&gt;="&amp;CV$9)*SUMIFS(условия!$172:$172,условия!$8:$8,"&lt;="&amp;CV$9,условия!$9:$9,"&gt;="&amp;CV$9)</f>
        <v>1156.0211006400004</v>
      </c>
      <c r="CW109" s="33">
        <f>SUMIFS(условия!$170:$170,условия!$8:$8,"&lt;="&amp;CW$9,условия!$9:$9,"&gt;="&amp;CW$9)*SUMIFS(условия!$172:$172,условия!$8:$8,"&lt;="&amp;CW$9,условия!$9:$9,"&gt;="&amp;CW$9)</f>
        <v>1156.0211006400004</v>
      </c>
      <c r="CX109" s="33">
        <f>SUMIFS(условия!$170:$170,условия!$8:$8,"&lt;="&amp;CX$9,условия!$9:$9,"&gt;="&amp;CX$9)*SUMIFS(условия!$172:$172,условия!$8:$8,"&lt;="&amp;CX$9,условия!$9:$9,"&gt;="&amp;CX$9)</f>
        <v>1156.0211006400004</v>
      </c>
      <c r="CY109" s="33">
        <f>SUMIFS(условия!$170:$170,условия!$8:$8,"&lt;="&amp;CY$9,условия!$9:$9,"&gt;="&amp;CY$9)*SUMIFS(условия!$172:$172,условия!$8:$8,"&lt;="&amp;CY$9,условия!$9:$9,"&gt;="&amp;CY$9)</f>
        <v>1156.0211006400004</v>
      </c>
      <c r="CZ109" s="33">
        <f>SUMIFS(условия!$170:$170,условия!$8:$8,"&lt;="&amp;CZ$9,условия!$9:$9,"&gt;="&amp;CZ$9)*SUMIFS(условия!$172:$172,условия!$8:$8,"&lt;="&amp;CZ$9,условия!$9:$9,"&gt;="&amp;CZ$9)</f>
        <v>1202.2619446656004</v>
      </c>
      <c r="DA109" s="33">
        <f>SUMIFS(условия!$170:$170,условия!$8:$8,"&lt;="&amp;DA$9,условия!$9:$9,"&gt;="&amp;DA$9)*SUMIFS(условия!$172:$172,условия!$8:$8,"&lt;="&amp;DA$9,условия!$9:$9,"&gt;="&amp;DA$9)</f>
        <v>1202.2619446656004</v>
      </c>
      <c r="DB109" s="33">
        <f>SUMIFS(условия!$170:$170,условия!$8:$8,"&lt;="&amp;DB$9,условия!$9:$9,"&gt;="&amp;DB$9)*SUMIFS(условия!$172:$172,условия!$8:$8,"&lt;="&amp;DB$9,условия!$9:$9,"&gt;="&amp;DB$9)</f>
        <v>1202.2619446656004</v>
      </c>
      <c r="DC109" s="33">
        <f>SUMIFS(условия!$170:$170,условия!$8:$8,"&lt;="&amp;DC$9,условия!$9:$9,"&gt;="&amp;DC$9)*SUMIFS(условия!$172:$172,условия!$8:$8,"&lt;="&amp;DC$9,условия!$9:$9,"&gt;="&amp;DC$9)</f>
        <v>1202.2619446656004</v>
      </c>
      <c r="DD109" s="33">
        <f>SUMIFS(условия!$170:$170,условия!$8:$8,"&lt;="&amp;DD$9,условия!$9:$9,"&gt;="&amp;DD$9)*SUMIFS(условия!$172:$172,условия!$8:$8,"&lt;="&amp;DD$9,условия!$9:$9,"&gt;="&amp;DD$9)</f>
        <v>1202.2619446656004</v>
      </c>
      <c r="DE109" s="33">
        <f>SUMIFS(условия!$170:$170,условия!$8:$8,"&lt;="&amp;DE$9,условия!$9:$9,"&gt;="&amp;DE$9)*SUMIFS(условия!$172:$172,условия!$8:$8,"&lt;="&amp;DE$9,условия!$9:$9,"&gt;="&amp;DE$9)</f>
        <v>1202.2619446656004</v>
      </c>
      <c r="DF109" s="33">
        <f>SUMIFS(условия!$170:$170,условия!$8:$8,"&lt;="&amp;DF$9,условия!$9:$9,"&gt;="&amp;DF$9)*SUMIFS(условия!$172:$172,условия!$8:$8,"&lt;="&amp;DF$9,условия!$9:$9,"&gt;="&amp;DF$9)</f>
        <v>1202.2619446656004</v>
      </c>
      <c r="DG109" s="33">
        <f>SUMIFS(условия!$170:$170,условия!$8:$8,"&lt;="&amp;DG$9,условия!$9:$9,"&gt;="&amp;DG$9)*SUMIFS(условия!$172:$172,условия!$8:$8,"&lt;="&amp;DG$9,условия!$9:$9,"&gt;="&amp;DG$9)</f>
        <v>1202.2619446656004</v>
      </c>
      <c r="DH109" s="33">
        <f>SUMIFS(условия!$170:$170,условия!$8:$8,"&lt;="&amp;DH$9,условия!$9:$9,"&gt;="&amp;DH$9)*SUMIFS(условия!$172:$172,условия!$8:$8,"&lt;="&amp;DH$9,условия!$9:$9,"&gt;="&amp;DH$9)</f>
        <v>1202.2619446656004</v>
      </c>
      <c r="DI109" s="33">
        <f>SUMIFS(условия!$170:$170,условия!$8:$8,"&lt;="&amp;DI$9,условия!$9:$9,"&gt;="&amp;DI$9)*SUMIFS(условия!$172:$172,условия!$8:$8,"&lt;="&amp;DI$9,условия!$9:$9,"&gt;="&amp;DI$9)</f>
        <v>1202.2619446656004</v>
      </c>
      <c r="DJ109" s="33">
        <f>SUMIFS(условия!$170:$170,условия!$8:$8,"&lt;="&amp;DJ$9,условия!$9:$9,"&gt;="&amp;DJ$9)*SUMIFS(условия!$172:$172,условия!$8:$8,"&lt;="&amp;DJ$9,условия!$9:$9,"&gt;="&amp;DJ$9)</f>
        <v>1202.2619446656004</v>
      </c>
      <c r="DK109" s="33">
        <f>SUMIFS(условия!$170:$170,условия!$8:$8,"&lt;="&amp;DK$9,условия!$9:$9,"&gt;="&amp;DK$9)*SUMIFS(условия!$172:$172,условия!$8:$8,"&lt;="&amp;DK$9,условия!$9:$9,"&gt;="&amp;DK$9)</f>
        <v>1202.2619446656004</v>
      </c>
      <c r="DL109" s="33">
        <f>SUMIFS(условия!$170:$170,условия!$8:$8,"&lt;="&amp;DL$9,условия!$9:$9,"&gt;="&amp;DL$9)*SUMIFS(условия!$172:$172,условия!$8:$8,"&lt;="&amp;DL$9,условия!$9:$9,"&gt;="&amp;DL$9)</f>
        <v>1238.3298030055685</v>
      </c>
      <c r="DM109" s="33">
        <f>SUMIFS(условия!$170:$170,условия!$8:$8,"&lt;="&amp;DM$9,условия!$9:$9,"&gt;="&amp;DM$9)*SUMIFS(условия!$172:$172,условия!$8:$8,"&lt;="&amp;DM$9,условия!$9:$9,"&gt;="&amp;DM$9)</f>
        <v>1238.3298030055685</v>
      </c>
      <c r="DN109" s="33">
        <f>SUMIFS(условия!$170:$170,условия!$8:$8,"&lt;="&amp;DN$9,условия!$9:$9,"&gt;="&amp;DN$9)*SUMIFS(условия!$172:$172,условия!$8:$8,"&lt;="&amp;DN$9,условия!$9:$9,"&gt;="&amp;DN$9)</f>
        <v>1238.3298030055685</v>
      </c>
      <c r="DO109" s="33">
        <f>SUMIFS(условия!$170:$170,условия!$8:$8,"&lt;="&amp;DO$9,условия!$9:$9,"&gt;="&amp;DO$9)*SUMIFS(условия!$172:$172,условия!$8:$8,"&lt;="&amp;DO$9,условия!$9:$9,"&gt;="&amp;DO$9)</f>
        <v>1238.3298030055685</v>
      </c>
      <c r="DP109" s="33">
        <f>SUMIFS(условия!$170:$170,условия!$8:$8,"&lt;="&amp;DP$9,условия!$9:$9,"&gt;="&amp;DP$9)*SUMIFS(условия!$172:$172,условия!$8:$8,"&lt;="&amp;DP$9,условия!$9:$9,"&gt;="&amp;DP$9)</f>
        <v>1238.3298030055685</v>
      </c>
      <c r="DQ109" s="33">
        <f>SUMIFS(условия!$170:$170,условия!$8:$8,"&lt;="&amp;DQ$9,условия!$9:$9,"&gt;="&amp;DQ$9)*SUMIFS(условия!$172:$172,условия!$8:$8,"&lt;="&amp;DQ$9,условия!$9:$9,"&gt;="&amp;DQ$9)</f>
        <v>1238.3298030055685</v>
      </c>
      <c r="DR109" s="33">
        <f>SUMIFS(условия!$170:$170,условия!$8:$8,"&lt;="&amp;DR$9,условия!$9:$9,"&gt;="&amp;DR$9)*SUMIFS(условия!$172:$172,условия!$8:$8,"&lt;="&amp;DR$9,условия!$9:$9,"&gt;="&amp;DR$9)</f>
        <v>1238.3298030055685</v>
      </c>
      <c r="DS109" s="33">
        <f>SUMIFS(условия!$170:$170,условия!$8:$8,"&lt;="&amp;DS$9,условия!$9:$9,"&gt;="&amp;DS$9)*SUMIFS(условия!$172:$172,условия!$8:$8,"&lt;="&amp;DS$9,условия!$9:$9,"&gt;="&amp;DS$9)</f>
        <v>1238.3298030055685</v>
      </c>
      <c r="DT109" s="33">
        <f>SUMIFS(условия!$170:$170,условия!$8:$8,"&lt;="&amp;DT$9,условия!$9:$9,"&gt;="&amp;DT$9)*SUMIFS(условия!$172:$172,условия!$8:$8,"&lt;="&amp;DT$9,условия!$9:$9,"&gt;="&amp;DT$9)</f>
        <v>1238.3298030055685</v>
      </c>
      <c r="DU109" s="33">
        <f>SUMIFS(условия!$170:$170,условия!$8:$8,"&lt;="&amp;DU$9,условия!$9:$9,"&gt;="&amp;DU$9)*SUMIFS(условия!$172:$172,условия!$8:$8,"&lt;="&amp;DU$9,условия!$9:$9,"&gt;="&amp;DU$9)</f>
        <v>1238.3298030055685</v>
      </c>
      <c r="DV109" s="33">
        <f>SUMIFS(условия!$170:$170,условия!$8:$8,"&lt;="&amp;DV$9,условия!$9:$9,"&gt;="&amp;DV$9)*SUMIFS(условия!$172:$172,условия!$8:$8,"&lt;="&amp;DV$9,условия!$9:$9,"&gt;="&amp;DV$9)</f>
        <v>1238.3298030055685</v>
      </c>
      <c r="DW109" s="33">
        <f>SUMIFS(условия!$170:$170,условия!$8:$8,"&lt;="&amp;DW$9,условия!$9:$9,"&gt;="&amp;DW$9)*SUMIFS(условия!$172:$172,условия!$8:$8,"&lt;="&amp;DW$9,условия!$9:$9,"&gt;="&amp;DW$9)</f>
        <v>1238.3298030055685</v>
      </c>
      <c r="DX109" s="33">
        <f>SUMIFS(условия!$170:$170,условия!$8:$8,"&lt;="&amp;DX$9,условия!$9:$9,"&gt;="&amp;DX$9)*SUMIFS(условия!$172:$172,условия!$8:$8,"&lt;="&amp;DX$9,условия!$9:$9,"&gt;="&amp;DX$9)</f>
        <v>1250.7131010356243</v>
      </c>
      <c r="DY109" s="33">
        <f>SUMIFS(условия!$170:$170,условия!$8:$8,"&lt;="&amp;DY$9,условия!$9:$9,"&gt;="&amp;DY$9)*SUMIFS(условия!$172:$172,условия!$8:$8,"&lt;="&amp;DY$9,условия!$9:$9,"&gt;="&amp;DY$9)</f>
        <v>1250.7131010356243</v>
      </c>
      <c r="DZ109" s="33">
        <f>SUMIFS(условия!$170:$170,условия!$8:$8,"&lt;="&amp;DZ$9,условия!$9:$9,"&gt;="&amp;DZ$9)*SUMIFS(условия!$172:$172,условия!$8:$8,"&lt;="&amp;DZ$9,условия!$9:$9,"&gt;="&amp;DZ$9)</f>
        <v>1250.7131010356243</v>
      </c>
      <c r="EA109" s="33">
        <f>SUMIFS(условия!$170:$170,условия!$8:$8,"&lt;="&amp;EA$9,условия!$9:$9,"&gt;="&amp;EA$9)*SUMIFS(условия!$172:$172,условия!$8:$8,"&lt;="&amp;EA$9,условия!$9:$9,"&gt;="&amp;EA$9)</f>
        <v>1250.7131010356243</v>
      </c>
      <c r="EB109" s="33">
        <f>SUMIFS(условия!$170:$170,условия!$8:$8,"&lt;="&amp;EB$9,условия!$9:$9,"&gt;="&amp;EB$9)*SUMIFS(условия!$172:$172,условия!$8:$8,"&lt;="&amp;EB$9,условия!$9:$9,"&gt;="&amp;EB$9)</f>
        <v>1250.7131010356243</v>
      </c>
      <c r="EC109" s="33">
        <f>SUMIFS(условия!$170:$170,условия!$8:$8,"&lt;="&amp;EC$9,условия!$9:$9,"&gt;="&amp;EC$9)*SUMIFS(условия!$172:$172,условия!$8:$8,"&lt;="&amp;EC$9,условия!$9:$9,"&gt;="&amp;EC$9)</f>
        <v>1250.7131010356243</v>
      </c>
      <c r="ED109" s="33">
        <f>SUMIFS(условия!$170:$170,условия!$8:$8,"&lt;="&amp;ED$9,условия!$9:$9,"&gt;="&amp;ED$9)*SUMIFS(условия!$172:$172,условия!$8:$8,"&lt;="&amp;ED$9,условия!$9:$9,"&gt;="&amp;ED$9)</f>
        <v>1250.7131010356243</v>
      </c>
      <c r="EE109" s="33">
        <f>SUMIFS(условия!$170:$170,условия!$8:$8,"&lt;="&amp;EE$9,условия!$9:$9,"&gt;="&amp;EE$9)*SUMIFS(условия!$172:$172,условия!$8:$8,"&lt;="&amp;EE$9,условия!$9:$9,"&gt;="&amp;EE$9)</f>
        <v>1250.7131010356243</v>
      </c>
      <c r="EF109" s="33">
        <f>SUMIFS(условия!$170:$170,условия!$8:$8,"&lt;="&amp;EF$9,условия!$9:$9,"&gt;="&amp;EF$9)*SUMIFS(условия!$172:$172,условия!$8:$8,"&lt;="&amp;EF$9,условия!$9:$9,"&gt;="&amp;EF$9)</f>
        <v>1250.7131010356243</v>
      </c>
      <c r="EG109" s="33">
        <f>SUMIFS(условия!$170:$170,условия!$8:$8,"&lt;="&amp;EG$9,условия!$9:$9,"&gt;="&amp;EG$9)*SUMIFS(условия!$172:$172,условия!$8:$8,"&lt;="&amp;EG$9,условия!$9:$9,"&gt;="&amp;EG$9)</f>
        <v>1250.7131010356243</v>
      </c>
      <c r="EH109" s="33">
        <f>SUMIFS(условия!$170:$170,условия!$8:$8,"&lt;="&amp;EH$9,условия!$9:$9,"&gt;="&amp;EH$9)*SUMIFS(условия!$172:$172,условия!$8:$8,"&lt;="&amp;EH$9,условия!$9:$9,"&gt;="&amp;EH$9)</f>
        <v>1250.7131010356243</v>
      </c>
      <c r="EI109" s="33">
        <f>SUMIFS(условия!$170:$170,условия!$8:$8,"&lt;="&amp;EI$9,условия!$9:$9,"&gt;="&amp;EI$9)*SUMIFS(условия!$172:$172,условия!$8:$8,"&lt;="&amp;EI$9,условия!$9:$9,"&gt;="&amp;EI$9)</f>
        <v>1250.7131010356243</v>
      </c>
      <c r="EJ109" s="3"/>
      <c r="EK109" s="3"/>
    </row>
    <row r="110" spans="1:14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</row>
    <row r="111" spans="1:141" x14ac:dyDescent="0.25">
      <c r="A111" s="3"/>
      <c r="B111" s="3"/>
      <c r="C111" s="3"/>
      <c r="D111" s="3"/>
      <c r="E111" s="3"/>
      <c r="F111" s="10" t="str">
        <f>KPI!$F$115</f>
        <v>мотивационный ФОТ</v>
      </c>
      <c r="G111" s="3"/>
      <c r="H111" s="3"/>
      <c r="I111" s="3"/>
      <c r="J111" s="5" t="str">
        <f>IF($F111="","",INDEX(KPI!$I$11:$I$275,SUMIFS(KPI!$E$11:$E$275,KPI!$F$11:$F$275,$F111)))</f>
        <v>тыс.руб.</v>
      </c>
      <c r="K111" s="3"/>
      <c r="L111" s="3"/>
      <c r="M111" s="3"/>
      <c r="N111" s="3"/>
      <c r="O111" s="3"/>
      <c r="P111" s="3"/>
      <c r="Q111" s="12">
        <f>SUM(S111:EJ111)</f>
        <v>115765.95612093176</v>
      </c>
      <c r="R111" s="3"/>
      <c r="S111" s="55"/>
      <c r="T111" s="33">
        <f>T45*условия!$Q$174</f>
        <v>0</v>
      </c>
      <c r="U111" s="33">
        <f>U45*условия!$Q$174</f>
        <v>0</v>
      </c>
      <c r="V111" s="33">
        <f>V45*условия!$Q$174</f>
        <v>0</v>
      </c>
      <c r="W111" s="33">
        <f>W45*условия!$Q$174</f>
        <v>0</v>
      </c>
      <c r="X111" s="33">
        <f>X45*условия!$Q$174</f>
        <v>10.5984</v>
      </c>
      <c r="Y111" s="33">
        <f>Y45*условия!$Q$174</f>
        <v>8.811300000000001</v>
      </c>
      <c r="Z111" s="33">
        <f>Z45*условия!$Q$174</f>
        <v>8.8630499999999994</v>
      </c>
      <c r="AA111" s="33">
        <f>AA45*условия!$Q$174</f>
        <v>10.697760000000001</v>
      </c>
      <c r="AB111" s="33">
        <f>AB45*условия!$Q$174</f>
        <v>16.232940000000003</v>
      </c>
      <c r="AC111" s="33">
        <f>AC45*условия!$Q$174</f>
        <v>22.140720000000002</v>
      </c>
      <c r="AD111" s="33">
        <f>AD45*условия!$Q$174</f>
        <v>28.296900000000001</v>
      </c>
      <c r="AE111" s="33">
        <f>AE45*условия!$Q$174</f>
        <v>25.116</v>
      </c>
      <c r="AF111" s="33">
        <f>AF45*условия!$Q$174</f>
        <v>43.333678079999999</v>
      </c>
      <c r="AG111" s="33">
        <f>AG45*условия!$Q$174</f>
        <v>50.855696639999998</v>
      </c>
      <c r="AH111" s="33">
        <f>AH45*условия!$Q$174</f>
        <v>58.805913599999997</v>
      </c>
      <c r="AI111" s="33">
        <f>AI45*условия!$Q$174</f>
        <v>58.600378368000001</v>
      </c>
      <c r="AJ111" s="33">
        <f>AJ45*условия!$Q$174</f>
        <v>43.847516160000005</v>
      </c>
      <c r="AK111" s="33">
        <f>AK45*условия!$Q$174</f>
        <v>36.453957120000005</v>
      </c>
      <c r="AL111" s="33">
        <f>AL45*условия!$Q$174</f>
        <v>36.668056319999998</v>
      </c>
      <c r="AM111" s="33">
        <f>AM45*условия!$Q$174</f>
        <v>44.258586624000003</v>
      </c>
      <c r="AN111" s="33">
        <f>AN45*условия!$Q$174</f>
        <v>67.158637055999989</v>
      </c>
      <c r="AO111" s="33">
        <f>AO45*условия!$Q$174</f>
        <v>91.600201727999988</v>
      </c>
      <c r="AP111" s="33">
        <f>AP45*условия!$Q$174</f>
        <v>117.06944255999998</v>
      </c>
      <c r="AQ111" s="33">
        <f>AQ45*условия!$Q$174</f>
        <v>103.90947839999997</v>
      </c>
      <c r="AR111" s="33">
        <f>AR45*условия!$Q$174</f>
        <v>127.7079552</v>
      </c>
      <c r="AS111" s="33">
        <f>AS45*условия!$Q$174</f>
        <v>149.73020160000002</v>
      </c>
      <c r="AT111" s="33">
        <f>AT45*условия!$Q$174</f>
        <v>172.80614399999999</v>
      </c>
      <c r="AU111" s="33">
        <f>AU45*условия!$Q$174</f>
        <v>172.30036992000001</v>
      </c>
      <c r="AV111" s="33">
        <f>AV45*условия!$Q$174</f>
        <v>128.97239039999999</v>
      </c>
      <c r="AW111" s="33">
        <f>AW45*условия!$Q$174</f>
        <v>107.2662528</v>
      </c>
      <c r="AX111" s="33">
        <f>AX45*условия!$Q$174</f>
        <v>107.79310079999998</v>
      </c>
      <c r="AY111" s="33">
        <f>AY45*условия!$Q$174</f>
        <v>129.98393855999998</v>
      </c>
      <c r="AZ111" s="33">
        <f>AZ45*условия!$Q$174</f>
        <v>196.87256063999993</v>
      </c>
      <c r="BA111" s="33">
        <f>BA45*условия!$Q$174</f>
        <v>267.55448831999996</v>
      </c>
      <c r="BB111" s="33">
        <f>BB45*условия!$Q$174</f>
        <v>340.76528640000004</v>
      </c>
      <c r="BC111" s="33">
        <f>BC45*условия!$Q$174</f>
        <v>301.357056</v>
      </c>
      <c r="BD111" s="33">
        <f>BD45*условия!$Q$174</f>
        <v>267.78761856000006</v>
      </c>
      <c r="BE111" s="33">
        <f>BE45*условия!$Q$174</f>
        <v>313.96551648000013</v>
      </c>
      <c r="BF111" s="33">
        <f>BF45*условия!$Q$174</f>
        <v>362.35288320000006</v>
      </c>
      <c r="BG111" s="33">
        <f>BG45*условия!$Q$174</f>
        <v>361.2923381760001</v>
      </c>
      <c r="BH111" s="33">
        <f>BH45*условия!$Q$174</f>
        <v>270.43898112000005</v>
      </c>
      <c r="BI111" s="33">
        <f>BI45*условия!$Q$174</f>
        <v>224.92392384000004</v>
      </c>
      <c r="BJ111" s="33">
        <f>BJ45*условия!$Q$174</f>
        <v>226.02865824000006</v>
      </c>
      <c r="BK111" s="33">
        <f>BK45*условия!$Q$174</f>
        <v>272.56007116800009</v>
      </c>
      <c r="BL111" s="33">
        <f>BL45*условия!$Q$174</f>
        <v>412.81715059200013</v>
      </c>
      <c r="BM111" s="33">
        <f>BM45*условия!$Q$174</f>
        <v>561.02831769600016</v>
      </c>
      <c r="BN111" s="33">
        <f>BN45*условия!$Q$174</f>
        <v>714.54220992000023</v>
      </c>
      <c r="BO111" s="33">
        <f>BO45*условия!$Q$174</f>
        <v>631.90807680000023</v>
      </c>
      <c r="BP111" s="33">
        <f>BP45*условия!$Q$174</f>
        <v>538.63566704640004</v>
      </c>
      <c r="BQ111" s="33">
        <f>BQ45*условия!$Q$174</f>
        <v>631.51921029120024</v>
      </c>
      <c r="BR111" s="33">
        <f>BR45*условия!$Q$174</f>
        <v>728.84694220799997</v>
      </c>
      <c r="BS111" s="33">
        <f>BS45*условия!$Q$174</f>
        <v>726.71373164544002</v>
      </c>
      <c r="BT111" s="33">
        <f>BT45*условия!$Q$174</f>
        <v>543.96869345280004</v>
      </c>
      <c r="BU111" s="33">
        <f>BU45*условия!$Q$174</f>
        <v>452.41840680960001</v>
      </c>
      <c r="BV111" s="33">
        <f>BV45*условия!$Q$174</f>
        <v>454.64050114560001</v>
      </c>
      <c r="BW111" s="33">
        <f>BW45*условия!$Q$174</f>
        <v>548.23511457792006</v>
      </c>
      <c r="BX111" s="33">
        <f>BX45*условия!$Q$174</f>
        <v>830.35221147648008</v>
      </c>
      <c r="BY111" s="33">
        <f>BY45*условия!$Q$174</f>
        <v>1128.4683875942403</v>
      </c>
      <c r="BZ111" s="33">
        <f>BZ45*условия!$Q$174</f>
        <v>1437.2506165248001</v>
      </c>
      <c r="CA111" s="33">
        <f>CA45*условия!$Q$174</f>
        <v>1271.0379601920004</v>
      </c>
      <c r="CB111" s="33">
        <f>CB45*условия!$Q$174</f>
        <v>772.48013230080005</v>
      </c>
      <c r="CC111" s="33">
        <f>CC45*условия!$Q$174</f>
        <v>904.80311792640032</v>
      </c>
      <c r="CD111" s="33">
        <f>CD45*условия!$Q$174</f>
        <v>1042.2350991360001</v>
      </c>
      <c r="CE111" s="33">
        <f>CE45*условия!$Q$174</f>
        <v>1039.7827812556802</v>
      </c>
      <c r="CF111" s="33">
        <f>CF45*условия!$Q$174</f>
        <v>778.61092700160009</v>
      </c>
      <c r="CG111" s="33">
        <f>CG45*условия!$Q$174</f>
        <v>647.82064005120014</v>
      </c>
      <c r="CH111" s="33">
        <f>CH45*условия!$Q$174</f>
        <v>650.37513784320015</v>
      </c>
      <c r="CI111" s="33">
        <f>CI45*условия!$Q$174</f>
        <v>783.51556276224017</v>
      </c>
      <c r="CJ111" s="33">
        <f>CJ45*условия!$Q$174</f>
        <v>1184.4695361945601</v>
      </c>
      <c r="CK111" s="33">
        <f>CK45*условия!$Q$174</f>
        <v>1603.8158937292799</v>
      </c>
      <c r="CL111" s="33">
        <f>CL45*условия!$Q$174</f>
        <v>2035.4238406655995</v>
      </c>
      <c r="CM111" s="33">
        <f>CM45*условия!$Q$174</f>
        <v>1793.2574499840002</v>
      </c>
      <c r="CN111" s="33">
        <f>CN45*условия!$Q$174</f>
        <v>1029.5569763297281</v>
      </c>
      <c r="CO111" s="33">
        <f>CO45*условия!$Q$174</f>
        <v>1205.3246064330242</v>
      </c>
      <c r="CP111" s="33">
        <f>CP45*условия!$Q$174</f>
        <v>1387.0562375577604</v>
      </c>
      <c r="CQ111" s="33">
        <f>CQ45*условия!$Q$174</f>
        <v>1384.1935170674687</v>
      </c>
      <c r="CR111" s="33">
        <f>CR45*условия!$Q$174</f>
        <v>1036.7137775554559</v>
      </c>
      <c r="CS111" s="33">
        <f>CS45*условия!$Q$174</f>
        <v>862.73534775859184</v>
      </c>
      <c r="CT111" s="33">
        <f>CT45*условия!$Q$174</f>
        <v>865.71734826931174</v>
      </c>
      <c r="CU111" s="33">
        <f>CU45*условия!$Q$174</f>
        <v>1042.4392185360382</v>
      </c>
      <c r="CV111" s="33">
        <f>CV45*условия!$Q$174</f>
        <v>1574.3940296426492</v>
      </c>
      <c r="CW111" s="33">
        <f>CW45*условия!$Q$174</f>
        <v>2127.8192444264441</v>
      </c>
      <c r="CX111" s="33">
        <f>CX45*условия!$Q$174</f>
        <v>2695.5580616616953</v>
      </c>
      <c r="CY111" s="33">
        <f>CY45*условия!$Q$174</f>
        <v>2370.2644059494396</v>
      </c>
      <c r="CZ111" s="33">
        <f>CZ45*условия!$Q$174</f>
        <v>1221.5978092200955</v>
      </c>
      <c r="DA111" s="33">
        <f>DA45*условия!$Q$174</f>
        <v>1428.7427113639674</v>
      </c>
      <c r="DB111" s="33">
        <f>DB45*условия!$Q$174</f>
        <v>1640.9522810419192</v>
      </c>
      <c r="DC111" s="33">
        <f>DC45*условия!$Q$174</f>
        <v>1638.5212406255607</v>
      </c>
      <c r="DD111" s="33">
        <f>DD45*условия!$Q$174</f>
        <v>1227.6754102609916</v>
      </c>
      <c r="DE111" s="33">
        <f>DE45*условия!$Q$174</f>
        <v>1022.0499083773435</v>
      </c>
      <c r="DF111" s="33">
        <f>DF45*условия!$Q$174</f>
        <v>1024.5822421443836</v>
      </c>
      <c r="DG111" s="33">
        <f>DG45*условия!$Q$174</f>
        <v>1232.5374910937082</v>
      </c>
      <c r="DH111" s="33">
        <f>DH45*условия!$Q$174</f>
        <v>1857.9226382019065</v>
      </c>
      <c r="DI111" s="33">
        <f>DI45*условия!$Q$174</f>
        <v>2501.5405884327924</v>
      </c>
      <c r="DJ111" s="33">
        <f>DJ45*условия!$Q$174</f>
        <v>3157.3137407454706</v>
      </c>
      <c r="DK111" s="33">
        <f>DK45*условия!$Q$174</f>
        <v>2765.3084736076789</v>
      </c>
      <c r="DL111" s="33">
        <f>DL45*условия!$Q$174</f>
        <v>1372.930075138406</v>
      </c>
      <c r="DM111" s="33">
        <f>DM45*условия!$Q$174</f>
        <v>1604.9424948746109</v>
      </c>
      <c r="DN111" s="33">
        <f>DN45*условия!$Q$174</f>
        <v>1841.5131153914874</v>
      </c>
      <c r="DO111" s="33">
        <f>DO45*условия!$Q$174</f>
        <v>1839.3251790167651</v>
      </c>
      <c r="DP111" s="33">
        <f>DP45*условия!$Q$174</f>
        <v>1378.3999160752123</v>
      </c>
      <c r="DQ111" s="33">
        <f>DQ45*условия!$Q$174</f>
        <v>1147.7549565732093</v>
      </c>
      <c r="DR111" s="33">
        <f>DR45*условия!$Q$174</f>
        <v>1150.0340569635453</v>
      </c>
      <c r="DS111" s="33">
        <f>DS45*условия!$Q$174</f>
        <v>1382.7757888246576</v>
      </c>
      <c r="DT111" s="33">
        <f>DT45*условия!$Q$174</f>
        <v>2082.3684446421962</v>
      </c>
      <c r="DU111" s="33">
        <f>DU45*условия!$Q$174</f>
        <v>2798.3706232701534</v>
      </c>
      <c r="DV111" s="33">
        <f>DV45*условия!$Q$174</f>
        <v>3525.3124837717232</v>
      </c>
      <c r="DW111" s="33">
        <f>DW45*условия!$Q$174</f>
        <v>3081.3437277342705</v>
      </c>
      <c r="DX111" s="33">
        <f>DX45*условия!$Q$174</f>
        <v>1426.4251195003724</v>
      </c>
      <c r="DY111" s="33">
        <f>DY45*условия!$Q$174</f>
        <v>1666.6514170433486</v>
      </c>
      <c r="DZ111" s="33">
        <f>DZ45*условия!$Q$174</f>
        <v>1910.4331111952483</v>
      </c>
      <c r="EA111" s="33">
        <f>EA45*условия!$Q$174</f>
        <v>1908.7265208229644</v>
      </c>
      <c r="EB111" s="33">
        <f>EB45*условия!$Q$174</f>
        <v>1430.6915954310816</v>
      </c>
      <c r="EC111" s="33">
        <f>EC45*условия!$Q$174</f>
        <v>1191.5319168707836</v>
      </c>
      <c r="ED111" s="33">
        <f>ED45*условия!$Q$174</f>
        <v>1193.3096151752452</v>
      </c>
      <c r="EE111" s="33">
        <f>EE45*условия!$Q$174</f>
        <v>1434.1047761756488</v>
      </c>
      <c r="EF111" s="33">
        <f>EF45*условия!$Q$174</f>
        <v>2157.5568781595371</v>
      </c>
      <c r="EG111" s="33">
        <f>EG45*условия!$Q$174</f>
        <v>2893.8084079355522</v>
      </c>
      <c r="EH111" s="33">
        <f>EH45*условия!$Q$174</f>
        <v>3638.5928895729844</v>
      </c>
      <c r="EI111" s="33">
        <f>EI45*условия!$Q$174</f>
        <v>3173.7840395662993</v>
      </c>
      <c r="EJ111" s="3"/>
      <c r="EK111" s="3"/>
    </row>
    <row r="112" spans="1:14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</row>
    <row r="113" spans="1:141" x14ac:dyDescent="0.25">
      <c r="A113" s="3"/>
      <c r="B113" s="3"/>
      <c r="C113" s="3"/>
      <c r="D113" s="3"/>
      <c r="E113" s="3"/>
      <c r="F113" s="10" t="str">
        <f>KPI!$F$117</f>
        <v>ФОТ</v>
      </c>
      <c r="G113" s="3"/>
      <c r="H113" s="3"/>
      <c r="I113" s="3"/>
      <c r="J113" s="5" t="str">
        <f>IF($F113="","",INDEX(KPI!$I$11:$I$275,SUMIFS(KPI!$E$11:$E$275,KPI!$F$11:$F$275,$F113)))</f>
        <v>тыс.руб.</v>
      </c>
      <c r="K113" s="3"/>
      <c r="L113" s="3"/>
      <c r="M113" s="3"/>
      <c r="N113" s="3"/>
      <c r="O113" s="3"/>
      <c r="P113" s="3"/>
      <c r="Q113" s="12">
        <f>SUM(S113:EJ113)</f>
        <v>746337.51831387368</v>
      </c>
      <c r="R113" s="3"/>
      <c r="S113" s="55"/>
      <c r="T113" s="33">
        <f>SUM(T93:T112)</f>
        <v>640</v>
      </c>
      <c r="U113" s="33">
        <f t="shared" ref="U113:CF113" si="47">SUM(U93:U112)</f>
        <v>640</v>
      </c>
      <c r="V113" s="33">
        <f t="shared" si="47"/>
        <v>640</v>
      </c>
      <c r="W113" s="33">
        <f t="shared" si="47"/>
        <v>640</v>
      </c>
      <c r="X113" s="33">
        <f t="shared" si="47"/>
        <v>1785.9072579604579</v>
      </c>
      <c r="Y113" s="33">
        <f t="shared" si="47"/>
        <v>1708.8113000000001</v>
      </c>
      <c r="Z113" s="33">
        <f t="shared" si="47"/>
        <v>1711.3515292626728</v>
      </c>
      <c r="AA113" s="33">
        <f t="shared" si="47"/>
        <v>1730.3843959447004</v>
      </c>
      <c r="AB113" s="33">
        <f t="shared" si="47"/>
        <v>1733.2098985253458</v>
      </c>
      <c r="AC113" s="33">
        <f t="shared" si="47"/>
        <v>1754.7945682979041</v>
      </c>
      <c r="AD113" s="33">
        <f t="shared" si="47"/>
        <v>1778.965381492493</v>
      </c>
      <c r="AE113" s="33">
        <f t="shared" si="47"/>
        <v>1734.9040184331798</v>
      </c>
      <c r="AF113" s="33">
        <f t="shared" si="47"/>
        <v>2907.7974053172529</v>
      </c>
      <c r="AG113" s="33">
        <f t="shared" si="47"/>
        <v>2773.0802127690322</v>
      </c>
      <c r="AH113" s="33">
        <f t="shared" si="47"/>
        <v>2832.9168813419356</v>
      </c>
      <c r="AI113" s="33">
        <f t="shared" si="47"/>
        <v>2787.5139267550967</v>
      </c>
      <c r="AJ113" s="33">
        <f t="shared" si="47"/>
        <v>2776.3813578613526</v>
      </c>
      <c r="AK113" s="33">
        <f t="shared" si="47"/>
        <v>2782.9829217401871</v>
      </c>
      <c r="AL113" s="33">
        <f t="shared" si="47"/>
        <v>2775.9971145926324</v>
      </c>
      <c r="AM113" s="33">
        <f t="shared" si="47"/>
        <v>2836.0702001775903</v>
      </c>
      <c r="AN113" s="33">
        <f t="shared" si="47"/>
        <v>2907.8861110414318</v>
      </c>
      <c r="AO113" s="33">
        <f t="shared" si="47"/>
        <v>2871.822500765461</v>
      </c>
      <c r="AP113" s="33">
        <f t="shared" si="47"/>
        <v>3101.7090237254529</v>
      </c>
      <c r="AQ113" s="33">
        <f t="shared" si="47"/>
        <v>2815.0552848516127</v>
      </c>
      <c r="AR113" s="33">
        <f t="shared" si="47"/>
        <v>3312.9448535805927</v>
      </c>
      <c r="AS113" s="33">
        <f t="shared" si="47"/>
        <v>3128.6226403096775</v>
      </c>
      <c r="AT113" s="33">
        <f t="shared" si="47"/>
        <v>3414.1299803228412</v>
      </c>
      <c r="AU113" s="33">
        <f t="shared" si="47"/>
        <v>3169.7486795974191</v>
      </c>
      <c r="AV113" s="33">
        <f t="shared" si="47"/>
        <v>3109.4056291096776</v>
      </c>
      <c r="AW113" s="33">
        <f t="shared" si="47"/>
        <v>3100.6554657032257</v>
      </c>
      <c r="AX113" s="33">
        <f t="shared" si="47"/>
        <v>3135.5285391779917</v>
      </c>
      <c r="AY113" s="33">
        <f t="shared" si="47"/>
        <v>3302.5612741804475</v>
      </c>
      <c r="AZ113" s="33">
        <f t="shared" si="47"/>
        <v>3464.8705930021224</v>
      </c>
      <c r="BA113" s="33">
        <f t="shared" si="47"/>
        <v>3449.3453715341002</v>
      </c>
      <c r="BB113" s="33">
        <f t="shared" si="47"/>
        <v>3966.6229997064511</v>
      </c>
      <c r="BC113" s="33">
        <f t="shared" si="47"/>
        <v>3249.5163334193549</v>
      </c>
      <c r="BD113" s="33">
        <f t="shared" si="47"/>
        <v>3867.6368712051617</v>
      </c>
      <c r="BE113" s="33">
        <f t="shared" si="47"/>
        <v>3779.9692180061411</v>
      </c>
      <c r="BF113" s="33">
        <f t="shared" si="47"/>
        <v>4253.8511895737001</v>
      </c>
      <c r="BG113" s="33">
        <f t="shared" si="47"/>
        <v>3846.0433680669908</v>
      </c>
      <c r="BH113" s="33">
        <f t="shared" si="47"/>
        <v>3623.7790867128811</v>
      </c>
      <c r="BI113" s="33">
        <f t="shared" si="47"/>
        <v>3790.6064930829389</v>
      </c>
      <c r="BJ113" s="33">
        <f t="shared" si="47"/>
        <v>3589.9369122199778</v>
      </c>
      <c r="BK113" s="33">
        <f t="shared" si="47"/>
        <v>4203.1560605400855</v>
      </c>
      <c r="BL113" s="33">
        <f t="shared" si="47"/>
        <v>4136.5182844911551</v>
      </c>
      <c r="BM113" s="33">
        <f t="shared" si="47"/>
        <v>4730.0290933104661</v>
      </c>
      <c r="BN113" s="33">
        <f t="shared" si="47"/>
        <v>4929.8504528161084</v>
      </c>
      <c r="BO113" s="33">
        <f t="shared" si="47"/>
        <v>4016.8488163684106</v>
      </c>
      <c r="BP113" s="33">
        <f t="shared" si="47"/>
        <v>4450.6074467844792</v>
      </c>
      <c r="BQ113" s="33">
        <f t="shared" si="47"/>
        <v>5279.8072698372553</v>
      </c>
      <c r="BR113" s="33">
        <f t="shared" si="47"/>
        <v>4588.1329010504469</v>
      </c>
      <c r="BS113" s="33">
        <f t="shared" si="47"/>
        <v>5111.2673297946067</v>
      </c>
      <c r="BT113" s="33">
        <f t="shared" si="47"/>
        <v>3969.7963986694404</v>
      </c>
      <c r="BU113" s="33">
        <f t="shared" si="47"/>
        <v>4723.7866237497365</v>
      </c>
      <c r="BV113" s="33">
        <f t="shared" si="47"/>
        <v>3885.8289974848212</v>
      </c>
      <c r="BW113" s="33">
        <f t="shared" si="47"/>
        <v>5384.0250002229959</v>
      </c>
      <c r="BX113" s="33">
        <f t="shared" si="47"/>
        <v>4810.6388842286051</v>
      </c>
      <c r="BY113" s="33">
        <f t="shared" si="47"/>
        <v>8148.8850514218193</v>
      </c>
      <c r="BZ113" s="33">
        <f t="shared" si="47"/>
        <v>7312.9837968640222</v>
      </c>
      <c r="CA113" s="33">
        <f t="shared" si="47"/>
        <v>6648.7047907431042</v>
      </c>
      <c r="CB113" s="33">
        <f t="shared" si="47"/>
        <v>5952.6595969364007</v>
      </c>
      <c r="CC113" s="33">
        <f t="shared" si="47"/>
        <v>8648.6783680272347</v>
      </c>
      <c r="CD113" s="33">
        <f t="shared" si="47"/>
        <v>6182.0489553595235</v>
      </c>
      <c r="CE113" s="33">
        <f t="shared" si="47"/>
        <v>7308.280099905347</v>
      </c>
      <c r="CF113" s="33">
        <f t="shared" si="47"/>
        <v>5692.0145958016019</v>
      </c>
      <c r="CG113" s="33">
        <f t="shared" ref="CG113:EI113" si="48">SUM(CG93:CG112)</f>
        <v>6131.2596755775357</v>
      </c>
      <c r="CH113" s="33">
        <f t="shared" si="48"/>
        <v>5930.4325581971243</v>
      </c>
      <c r="CI113" s="33">
        <f t="shared" si="48"/>
        <v>7166.5646470797974</v>
      </c>
      <c r="CJ113" s="33">
        <f t="shared" si="48"/>
        <v>7627.9478306400306</v>
      </c>
      <c r="CK113" s="33">
        <f t="shared" si="48"/>
        <v>8545.8283745080662</v>
      </c>
      <c r="CL113" s="33">
        <f t="shared" si="48"/>
        <v>9797.9635901054971</v>
      </c>
      <c r="CM113" s="33">
        <f t="shared" si="48"/>
        <v>7203.2103778883493</v>
      </c>
      <c r="CN113" s="33">
        <f t="shared" si="48"/>
        <v>6697.4796172889719</v>
      </c>
      <c r="CO113" s="33">
        <f t="shared" si="48"/>
        <v>8151.6207032356269</v>
      </c>
      <c r="CP113" s="33">
        <f t="shared" si="48"/>
        <v>7002.6223099589861</v>
      </c>
      <c r="CQ113" s="33">
        <f t="shared" si="48"/>
        <v>8884.4878561770256</v>
      </c>
      <c r="CR113" s="33">
        <f t="shared" si="48"/>
        <v>6073.9768499954571</v>
      </c>
      <c r="CS113" s="33">
        <f t="shared" si="48"/>
        <v>6924.0034909614078</v>
      </c>
      <c r="CT113" s="33">
        <f t="shared" si="48"/>
        <v>6093.9162357158921</v>
      </c>
      <c r="CU113" s="33">
        <f t="shared" si="48"/>
        <v>8360.6251972217215</v>
      </c>
      <c r="CV113" s="33">
        <f t="shared" si="48"/>
        <v>7765.1482928866399</v>
      </c>
      <c r="CW113" s="33">
        <f t="shared" si="48"/>
        <v>11083.812129439817</v>
      </c>
      <c r="CX113" s="33">
        <f t="shared" si="48"/>
        <v>9796.5111321450786</v>
      </c>
      <c r="CY113" s="33">
        <f t="shared" si="48"/>
        <v>8336.216744854326</v>
      </c>
      <c r="CZ113" s="33">
        <f t="shared" si="48"/>
        <v>6362.9027807176981</v>
      </c>
      <c r="DA113" s="33">
        <f t="shared" si="48"/>
        <v>10344.114614691563</v>
      </c>
      <c r="DB113" s="33">
        <f t="shared" si="48"/>
        <v>6908.896529630988</v>
      </c>
      <c r="DC113" s="33">
        <f t="shared" si="48"/>
        <v>9157.1970588215008</v>
      </c>
      <c r="DD113" s="33">
        <f t="shared" si="48"/>
        <v>6368.9803817585944</v>
      </c>
      <c r="DE113" s="33">
        <f t="shared" si="48"/>
        <v>6961.7095402440982</v>
      </c>
      <c r="DF113" s="33">
        <f t="shared" si="48"/>
        <v>7079.4761297818868</v>
      </c>
      <c r="DG113" s="33">
        <f t="shared" si="48"/>
        <v>8317.0756597393956</v>
      </c>
      <c r="DH113" s="33">
        <f t="shared" si="48"/>
        <v>9277.8757098711922</v>
      </c>
      <c r="DI113" s="33">
        <f t="shared" si="48"/>
        <v>10427.45803492933</v>
      </c>
      <c r="DJ113" s="33">
        <f t="shared" si="48"/>
        <v>13992.529728083791</v>
      </c>
      <c r="DK113" s="33">
        <f t="shared" si="48"/>
        <v>10440.685309781173</v>
      </c>
      <c r="DL113" s="33">
        <f t="shared" si="48"/>
        <v>8846.1404154972115</v>
      </c>
      <c r="DM113" s="33">
        <f t="shared" si="48"/>
        <v>11018.989512249384</v>
      </c>
      <c r="DN113" s="33">
        <f t="shared" si="48"/>
        <v>9324.9953158673889</v>
      </c>
      <c r="DO113" s="33">
        <f t="shared" si="48"/>
        <v>11719.595609124184</v>
      </c>
      <c r="DP113" s="33">
        <f t="shared" si="48"/>
        <v>8193.8546455196629</v>
      </c>
      <c r="DQ113" s="33">
        <f t="shared" si="48"/>
        <v>9372.5230621662704</v>
      </c>
      <c r="DR113" s="33">
        <f t="shared" si="48"/>
        <v>8114.0741946857461</v>
      </c>
      <c r="DS113" s="33">
        <f t="shared" si="48"/>
        <v>11360.085896650287</v>
      </c>
      <c r="DT113" s="33">
        <f t="shared" si="48"/>
        <v>10155.769475010859</v>
      </c>
      <c r="DU113" s="33">
        <f t="shared" si="48"/>
        <v>14182.894653197607</v>
      </c>
      <c r="DV113" s="33">
        <f t="shared" si="48"/>
        <v>12718.346266903947</v>
      </c>
      <c r="DW113" s="33">
        <f t="shared" si="48"/>
        <v>12170.291961559287</v>
      </c>
      <c r="DX113" s="33">
        <f t="shared" si="48"/>
        <v>8290.1312978946262</v>
      </c>
      <c r="DY113" s="33">
        <f t="shared" si="48"/>
        <v>12605.764142825828</v>
      </c>
      <c r="DZ113" s="33">
        <f t="shared" si="48"/>
        <v>8784.5138683077694</v>
      </c>
      <c r="EA113" s="33">
        <f t="shared" si="48"/>
        <v>11628.962745744551</v>
      </c>
      <c r="EB113" s="33">
        <f t="shared" si="48"/>
        <v>8274.0087454431559</v>
      </c>
      <c r="EC113" s="33">
        <f t="shared" si="48"/>
        <v>8814.3114381516352</v>
      </c>
      <c r="ED113" s="33">
        <f t="shared" si="48"/>
        <v>9045.8874682258265</v>
      </c>
      <c r="EE113" s="33">
        <f t="shared" si="48"/>
        <v>10288.814437040035</v>
      </c>
      <c r="EF113" s="33">
        <f t="shared" si="48"/>
        <v>11861.528039049979</v>
      </c>
      <c r="EG113" s="33">
        <f t="shared" si="48"/>
        <v>12353.710478858318</v>
      </c>
      <c r="EH113" s="33">
        <f t="shared" si="48"/>
        <v>15706.289513669191</v>
      </c>
      <c r="EI113" s="33">
        <f t="shared" si="48"/>
        <v>10955.640434527259</v>
      </c>
      <c r="EJ113" s="3"/>
      <c r="EK113" s="3"/>
    </row>
    <row r="114" spans="1:14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</row>
    <row r="115" spans="1:141" x14ac:dyDescent="0.25">
      <c r="A115" s="3"/>
      <c r="B115" s="3"/>
      <c r="C115" s="3"/>
      <c r="D115" s="3"/>
      <c r="E115" s="3"/>
      <c r="F115" s="10" t="str">
        <f>KPI!$F$118</f>
        <v>Отчисления в соц. фонды</v>
      </c>
      <c r="G115" s="3"/>
      <c r="H115" s="3"/>
      <c r="I115" s="3"/>
      <c r="J115" s="5" t="str">
        <f>IF($F115="","",INDEX(KPI!$I$11:$I$275,SUMIFS(KPI!$E$11:$E$275,KPI!$F$11:$F$275,$F115)))</f>
        <v>тыс.руб.</v>
      </c>
      <c r="K115" s="3"/>
      <c r="L115" s="3"/>
      <c r="M115" s="3"/>
      <c r="N115" s="3"/>
      <c r="O115" s="3"/>
      <c r="P115" s="3"/>
      <c r="Q115" s="12">
        <f>SUM(S115:EJ115)</f>
        <v>223901.25549416215</v>
      </c>
      <c r="R115" s="3"/>
      <c r="S115" s="55"/>
      <c r="T115" s="33">
        <f>T113*условия!$Q$176</f>
        <v>192</v>
      </c>
      <c r="U115" s="33">
        <f>U113*условия!$Q$176</f>
        <v>192</v>
      </c>
      <c r="V115" s="33">
        <f>V113*условия!$Q$176</f>
        <v>192</v>
      </c>
      <c r="W115" s="33">
        <f>W113*условия!$Q$176</f>
        <v>192</v>
      </c>
      <c r="X115" s="33">
        <f>X113*условия!$Q$176</f>
        <v>535.77217738813738</v>
      </c>
      <c r="Y115" s="33">
        <f>Y113*условия!$Q$176</f>
        <v>512.64338999999995</v>
      </c>
      <c r="Z115" s="33">
        <f>Z113*условия!$Q$176</f>
        <v>513.40545877880186</v>
      </c>
      <c r="AA115" s="33">
        <f>AA113*условия!$Q$176</f>
        <v>519.11531878341009</v>
      </c>
      <c r="AB115" s="33">
        <f>AB113*условия!$Q$176</f>
        <v>519.96296955760374</v>
      </c>
      <c r="AC115" s="33">
        <f>AC113*условия!$Q$176</f>
        <v>526.43837048937121</v>
      </c>
      <c r="AD115" s="33">
        <f>AD113*условия!$Q$176</f>
        <v>533.68961444774789</v>
      </c>
      <c r="AE115" s="33">
        <f>AE113*условия!$Q$176</f>
        <v>520.47120552995386</v>
      </c>
      <c r="AF115" s="33">
        <f>AF113*условия!$Q$176</f>
        <v>872.3392215951759</v>
      </c>
      <c r="AG115" s="33">
        <f>AG113*условия!$Q$176</f>
        <v>831.92406383070966</v>
      </c>
      <c r="AH115" s="33">
        <f>AH113*условия!$Q$176</f>
        <v>849.87506440258062</v>
      </c>
      <c r="AI115" s="33">
        <f>AI113*условия!$Q$176</f>
        <v>836.25417802652896</v>
      </c>
      <c r="AJ115" s="33">
        <f>AJ113*условия!$Q$176</f>
        <v>832.91440735840581</v>
      </c>
      <c r="AK115" s="33">
        <f>AK113*условия!$Q$176</f>
        <v>834.89487652205605</v>
      </c>
      <c r="AL115" s="33">
        <f>AL113*условия!$Q$176</f>
        <v>832.79913437778976</v>
      </c>
      <c r="AM115" s="33">
        <f>AM113*условия!$Q$176</f>
        <v>850.82106005327705</v>
      </c>
      <c r="AN115" s="33">
        <f>AN113*условия!$Q$176</f>
        <v>872.36583331242957</v>
      </c>
      <c r="AO115" s="33">
        <f>AO113*условия!$Q$176</f>
        <v>861.54675022963829</v>
      </c>
      <c r="AP115" s="33">
        <f>AP113*условия!$Q$176</f>
        <v>930.51270711763584</v>
      </c>
      <c r="AQ115" s="33">
        <f>AQ113*условия!$Q$176</f>
        <v>844.51658545548378</v>
      </c>
      <c r="AR115" s="33">
        <f>AR113*условия!$Q$176</f>
        <v>993.88345607417773</v>
      </c>
      <c r="AS115" s="33">
        <f>AS113*условия!$Q$176</f>
        <v>938.58679209290324</v>
      </c>
      <c r="AT115" s="33">
        <f>AT113*условия!$Q$176</f>
        <v>1024.2389940968524</v>
      </c>
      <c r="AU115" s="33">
        <f>AU113*условия!$Q$176</f>
        <v>950.92460387922574</v>
      </c>
      <c r="AV115" s="33">
        <f>AV113*условия!$Q$176</f>
        <v>932.82168873290323</v>
      </c>
      <c r="AW115" s="33">
        <f>AW113*условия!$Q$176</f>
        <v>930.1966397109677</v>
      </c>
      <c r="AX115" s="33">
        <f>AX113*условия!$Q$176</f>
        <v>940.65856175339741</v>
      </c>
      <c r="AY115" s="33">
        <f>AY113*условия!$Q$176</f>
        <v>990.76838225413417</v>
      </c>
      <c r="AZ115" s="33">
        <f>AZ113*условия!$Q$176</f>
        <v>1039.4611779006366</v>
      </c>
      <c r="BA115" s="33">
        <f>BA113*условия!$Q$176</f>
        <v>1034.8036114602301</v>
      </c>
      <c r="BB115" s="33">
        <f>BB113*условия!$Q$176</f>
        <v>1189.9868999119353</v>
      </c>
      <c r="BC115" s="33">
        <f>BC113*условия!$Q$176</f>
        <v>974.85490002580639</v>
      </c>
      <c r="BD115" s="33">
        <f>BD113*условия!$Q$176</f>
        <v>1160.2910613615484</v>
      </c>
      <c r="BE115" s="33">
        <f>BE113*условия!$Q$176</f>
        <v>1133.9907654018423</v>
      </c>
      <c r="BF115" s="33">
        <f>BF113*условия!$Q$176</f>
        <v>1276.1553568721099</v>
      </c>
      <c r="BG115" s="33">
        <f>BG113*условия!$Q$176</f>
        <v>1153.8130104200973</v>
      </c>
      <c r="BH115" s="33">
        <f>BH113*условия!$Q$176</f>
        <v>1087.1337260138644</v>
      </c>
      <c r="BI115" s="33">
        <f>BI113*условия!$Q$176</f>
        <v>1137.1819479248816</v>
      </c>
      <c r="BJ115" s="33">
        <f>BJ113*условия!$Q$176</f>
        <v>1076.9810736659933</v>
      </c>
      <c r="BK115" s="33">
        <f>BK113*условия!$Q$176</f>
        <v>1260.9468181620257</v>
      </c>
      <c r="BL115" s="33">
        <f>BL113*условия!$Q$176</f>
        <v>1240.9554853473464</v>
      </c>
      <c r="BM115" s="33">
        <f>BM113*условия!$Q$176</f>
        <v>1419.0087279931397</v>
      </c>
      <c r="BN115" s="33">
        <f>BN113*условия!$Q$176</f>
        <v>1478.9551358448325</v>
      </c>
      <c r="BO115" s="33">
        <f>BO113*условия!$Q$176</f>
        <v>1205.0546449105232</v>
      </c>
      <c r="BP115" s="33">
        <f>BP113*условия!$Q$176</f>
        <v>1335.1822340353438</v>
      </c>
      <c r="BQ115" s="33">
        <f>BQ113*условия!$Q$176</f>
        <v>1583.9421809511766</v>
      </c>
      <c r="BR115" s="33">
        <f>BR113*условия!$Q$176</f>
        <v>1376.4398703151339</v>
      </c>
      <c r="BS115" s="33">
        <f>BS113*условия!$Q$176</f>
        <v>1533.3801989383819</v>
      </c>
      <c r="BT115" s="33">
        <f>BT113*условия!$Q$176</f>
        <v>1190.9389196008322</v>
      </c>
      <c r="BU115" s="33">
        <f>BU113*условия!$Q$176</f>
        <v>1417.1359871249208</v>
      </c>
      <c r="BV115" s="33">
        <f>BV113*условия!$Q$176</f>
        <v>1165.7486992454462</v>
      </c>
      <c r="BW115" s="33">
        <f>BW113*условия!$Q$176</f>
        <v>1615.2075000668988</v>
      </c>
      <c r="BX115" s="33">
        <f>BX113*условия!$Q$176</f>
        <v>1443.1916652685816</v>
      </c>
      <c r="BY115" s="33">
        <f>BY113*условия!$Q$176</f>
        <v>2444.6655154265459</v>
      </c>
      <c r="BZ115" s="33">
        <f>BZ113*условия!$Q$176</f>
        <v>2193.8951390592065</v>
      </c>
      <c r="CA115" s="33">
        <f>CA113*условия!$Q$176</f>
        <v>1994.6114372229313</v>
      </c>
      <c r="CB115" s="33">
        <f>CB113*условия!$Q$176</f>
        <v>1785.7978790809202</v>
      </c>
      <c r="CC115" s="33">
        <f>CC113*условия!$Q$176</f>
        <v>2594.6035104081702</v>
      </c>
      <c r="CD115" s="33">
        <f>CD113*условия!$Q$176</f>
        <v>1854.614686607857</v>
      </c>
      <c r="CE115" s="33">
        <f>CE113*условия!$Q$176</f>
        <v>2192.4840299716038</v>
      </c>
      <c r="CF115" s="33">
        <f>CF113*условия!$Q$176</f>
        <v>1707.6043787404806</v>
      </c>
      <c r="CG115" s="33">
        <f>CG113*условия!$Q$176</f>
        <v>1839.3779026732607</v>
      </c>
      <c r="CH115" s="33">
        <f>CH113*условия!$Q$176</f>
        <v>1779.1297674591372</v>
      </c>
      <c r="CI115" s="33">
        <f>CI113*условия!$Q$176</f>
        <v>2149.9693941239393</v>
      </c>
      <c r="CJ115" s="33">
        <f>CJ113*условия!$Q$176</f>
        <v>2288.3843491920093</v>
      </c>
      <c r="CK115" s="33">
        <f>CK113*условия!$Q$176</f>
        <v>2563.7485123524198</v>
      </c>
      <c r="CL115" s="33">
        <f>CL113*условия!$Q$176</f>
        <v>2939.3890770316489</v>
      </c>
      <c r="CM115" s="33">
        <f>CM113*условия!$Q$176</f>
        <v>2160.9631133665048</v>
      </c>
      <c r="CN115" s="33">
        <f>CN113*условия!$Q$176</f>
        <v>2009.2438851866914</v>
      </c>
      <c r="CO115" s="33">
        <f>CO113*условия!$Q$176</f>
        <v>2445.4862109706878</v>
      </c>
      <c r="CP115" s="33">
        <f>CP113*условия!$Q$176</f>
        <v>2100.7866929876959</v>
      </c>
      <c r="CQ115" s="33">
        <f>CQ113*условия!$Q$176</f>
        <v>2665.3463568531074</v>
      </c>
      <c r="CR115" s="33">
        <f>CR113*условия!$Q$176</f>
        <v>1822.1930549986371</v>
      </c>
      <c r="CS115" s="33">
        <f>CS113*условия!$Q$176</f>
        <v>2077.2010472884222</v>
      </c>
      <c r="CT115" s="33">
        <f>CT113*условия!$Q$176</f>
        <v>1828.1748707147676</v>
      </c>
      <c r="CU115" s="33">
        <f>CU113*условия!$Q$176</f>
        <v>2508.1875591665162</v>
      </c>
      <c r="CV115" s="33">
        <f>CV113*условия!$Q$176</f>
        <v>2329.5444878659919</v>
      </c>
      <c r="CW115" s="33">
        <f>CW113*условия!$Q$176</f>
        <v>3325.1436388319448</v>
      </c>
      <c r="CX115" s="33">
        <f>CX113*условия!$Q$176</f>
        <v>2938.9533396435236</v>
      </c>
      <c r="CY115" s="33">
        <f>CY113*условия!$Q$176</f>
        <v>2500.8650234562979</v>
      </c>
      <c r="CZ115" s="33">
        <f>CZ113*условия!$Q$176</f>
        <v>1908.8708342153093</v>
      </c>
      <c r="DA115" s="33">
        <f>DA113*условия!$Q$176</f>
        <v>3103.234384407469</v>
      </c>
      <c r="DB115" s="33">
        <f>DB113*условия!$Q$176</f>
        <v>2072.6689588892964</v>
      </c>
      <c r="DC115" s="33">
        <f>DC113*условия!$Q$176</f>
        <v>2747.1591176464503</v>
      </c>
      <c r="DD115" s="33">
        <f>DD113*условия!$Q$176</f>
        <v>1910.6941145275782</v>
      </c>
      <c r="DE115" s="33">
        <f>DE113*условия!$Q$176</f>
        <v>2088.5128620732294</v>
      </c>
      <c r="DF115" s="33">
        <f>DF113*условия!$Q$176</f>
        <v>2123.8428389345659</v>
      </c>
      <c r="DG115" s="33">
        <f>DG113*условия!$Q$176</f>
        <v>2495.1226979218186</v>
      </c>
      <c r="DH115" s="33">
        <f>DH113*условия!$Q$176</f>
        <v>2783.3627129613574</v>
      </c>
      <c r="DI115" s="33">
        <f>DI113*условия!$Q$176</f>
        <v>3128.2374104787991</v>
      </c>
      <c r="DJ115" s="33">
        <f>DJ113*условия!$Q$176</f>
        <v>4197.7589184251374</v>
      </c>
      <c r="DK115" s="33">
        <f>DK113*условия!$Q$176</f>
        <v>3132.2055929343519</v>
      </c>
      <c r="DL115" s="33">
        <f>DL113*условия!$Q$176</f>
        <v>2653.8421246491635</v>
      </c>
      <c r="DM115" s="33">
        <f>DM113*условия!$Q$176</f>
        <v>3305.696853674815</v>
      </c>
      <c r="DN115" s="33">
        <f>DN113*условия!$Q$176</f>
        <v>2797.4985947602167</v>
      </c>
      <c r="DO115" s="33">
        <f>DO113*условия!$Q$176</f>
        <v>3515.8786827372551</v>
      </c>
      <c r="DP115" s="33">
        <f>DP113*условия!$Q$176</f>
        <v>2458.1563936558987</v>
      </c>
      <c r="DQ115" s="33">
        <f>DQ113*условия!$Q$176</f>
        <v>2811.7569186498808</v>
      </c>
      <c r="DR115" s="33">
        <f>DR113*условия!$Q$176</f>
        <v>2434.2222584057236</v>
      </c>
      <c r="DS115" s="33">
        <f>DS113*условия!$Q$176</f>
        <v>3408.0257689950863</v>
      </c>
      <c r="DT115" s="33">
        <f>DT113*условия!$Q$176</f>
        <v>3046.7308425032575</v>
      </c>
      <c r="DU115" s="33">
        <f>DU113*условия!$Q$176</f>
        <v>4254.8683959592818</v>
      </c>
      <c r="DV115" s="33">
        <f>DV113*условия!$Q$176</f>
        <v>3815.5038800711841</v>
      </c>
      <c r="DW115" s="33">
        <f>DW113*условия!$Q$176</f>
        <v>3651.0875884677862</v>
      </c>
      <c r="DX115" s="33">
        <f>DX113*условия!$Q$176</f>
        <v>2487.0393893683877</v>
      </c>
      <c r="DY115" s="33">
        <f>DY113*условия!$Q$176</f>
        <v>3781.7292428477485</v>
      </c>
      <c r="DZ115" s="33">
        <f>DZ113*условия!$Q$176</f>
        <v>2635.3541604923307</v>
      </c>
      <c r="EA115" s="33">
        <f>EA113*условия!$Q$176</f>
        <v>3488.6888237233652</v>
      </c>
      <c r="EB115" s="33">
        <f>EB113*условия!$Q$176</f>
        <v>2482.2026236329466</v>
      </c>
      <c r="EC115" s="33">
        <f>EC113*условия!$Q$176</f>
        <v>2644.2934314454906</v>
      </c>
      <c r="ED115" s="33">
        <f>ED113*условия!$Q$176</f>
        <v>2713.766240467748</v>
      </c>
      <c r="EE115" s="33">
        <f>EE113*условия!$Q$176</f>
        <v>3086.6443311120106</v>
      </c>
      <c r="EF115" s="33">
        <f>EF113*условия!$Q$176</f>
        <v>3558.4584117149939</v>
      </c>
      <c r="EG115" s="33">
        <f>EG113*условия!$Q$176</f>
        <v>3706.1131436574951</v>
      </c>
      <c r="EH115" s="33">
        <f>EH113*условия!$Q$176</f>
        <v>4711.8868541007569</v>
      </c>
      <c r="EI115" s="33">
        <f>EI113*условия!$Q$176</f>
        <v>3286.6921303581776</v>
      </c>
      <c r="EJ115" s="3"/>
      <c r="EK115" s="3"/>
    </row>
    <row r="116" spans="1:14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</row>
    <row r="117" spans="1:141" x14ac:dyDescent="0.25">
      <c r="A117" s="3"/>
      <c r="B117" s="3"/>
      <c r="C117" s="3"/>
      <c r="D117" s="3"/>
      <c r="E117" s="3"/>
      <c r="F117" s="10" t="str">
        <f>KPI!$F$120</f>
        <v>количество штатных операционных сотрудников</v>
      </c>
      <c r="G117" s="3"/>
      <c r="H117" s="3"/>
      <c r="I117" s="3"/>
      <c r="J117" s="5" t="str">
        <f>IF($F117="","",INDEX(KPI!$I$11:$I$275,SUMIFS(KPI!$E$11:$E$275,KPI!$F$11:$F$275,$F117)))</f>
        <v>чел</v>
      </c>
      <c r="K117" s="3"/>
      <c r="L117" s="3"/>
      <c r="M117" s="3"/>
      <c r="N117" s="3"/>
      <c r="O117" s="3"/>
      <c r="P117" s="3"/>
      <c r="Q117" s="12"/>
      <c r="R117" s="3"/>
      <c r="S117" s="55"/>
      <c r="T117" s="33">
        <f>S117+IF(T1=$Q$53,условия!$Q$136+условия!$Q$146+условия!$Q$154+условия!$Q$166,0)+T51*(условия!$Q$136+условия!$Q$146+условия!$Q$154+условия!$Q$166)</f>
        <v>0</v>
      </c>
      <c r="U117" s="33">
        <f>T117+IF(U1=$Q$53,условия!$Q$136+условия!$Q$146+условия!$Q$154+условия!$Q$166,0)+U51*(условия!$Q$136+условия!$Q$146+условия!$Q$154+условия!$Q$166)</f>
        <v>0</v>
      </c>
      <c r="V117" s="33">
        <f>U117+IF(V1=$Q$53,условия!$Q$136+условия!$Q$146+условия!$Q$154+условия!$Q$166,0)+V51*(условия!$Q$136+условия!$Q$146+условия!$Q$154+условия!$Q$166)</f>
        <v>0</v>
      </c>
      <c r="W117" s="33">
        <f>V117+IF(W1=$Q$53,условия!$Q$136+условия!$Q$146+условия!$Q$154+условия!$Q$166,0)+W51*(условия!$Q$136+условия!$Q$146+условия!$Q$154+условия!$Q$166)</f>
        <v>0</v>
      </c>
      <c r="X117" s="33">
        <f>W117+IF(X1=$Q$53,условия!$Q$136+условия!$Q$146+условия!$Q$154+условия!$Q$166,0)+X51*(условия!$Q$136+условия!$Q$146+условия!$Q$154+условия!$Q$166)</f>
        <v>19</v>
      </c>
      <c r="Y117" s="33">
        <f>X117+IF(Y1=$Q$53,условия!$Q$136+условия!$Q$146+условия!$Q$154+условия!$Q$166,0)+Y51*(условия!$Q$136+условия!$Q$146+условия!$Q$154+условия!$Q$166)</f>
        <v>19</v>
      </c>
      <c r="Z117" s="33">
        <f>Y117+IF(Z1=$Q$53,условия!$Q$136+условия!$Q$146+условия!$Q$154+условия!$Q$166,0)+Z51*(условия!$Q$136+условия!$Q$146+условия!$Q$154+условия!$Q$166)</f>
        <v>19</v>
      </c>
      <c r="AA117" s="33">
        <f>Z117+IF(AA1=$Q$53,условия!$Q$136+условия!$Q$146+условия!$Q$154+условия!$Q$166,0)+AA51*(условия!$Q$136+условия!$Q$146+условия!$Q$154+условия!$Q$166)</f>
        <v>19</v>
      </c>
      <c r="AB117" s="33">
        <f>AA117+IF(AB1=$Q$53,условия!$Q$136+условия!$Q$146+условия!$Q$154+условия!$Q$166,0)+AB51*(условия!$Q$136+условия!$Q$146+условия!$Q$154+условия!$Q$166)</f>
        <v>19</v>
      </c>
      <c r="AC117" s="33">
        <f>AB117+IF(AC1=$Q$53,условия!$Q$136+условия!$Q$146+условия!$Q$154+условия!$Q$166,0)+AC51*(условия!$Q$136+условия!$Q$146+условия!$Q$154+условия!$Q$166)</f>
        <v>19</v>
      </c>
      <c r="AD117" s="33">
        <f>AC117+IF(AD1=$Q$53,условия!$Q$136+условия!$Q$146+условия!$Q$154+условия!$Q$166,0)+AD51*(условия!$Q$136+условия!$Q$146+условия!$Q$154+условия!$Q$166)</f>
        <v>19</v>
      </c>
      <c r="AE117" s="33">
        <f>AD117+IF(AE1=$Q$53,условия!$Q$136+условия!$Q$146+условия!$Q$154+условия!$Q$166,0)+AE51*(условия!$Q$136+условия!$Q$146+условия!$Q$154+условия!$Q$166)</f>
        <v>19</v>
      </c>
      <c r="AF117" s="33">
        <f>AE117+IF(AF1=$Q$53,условия!$Q$136+условия!$Q$146+условия!$Q$154+условия!$Q$166,0)+AF51*(условия!$Q$136+условия!$Q$146+условия!$Q$154+условия!$Q$166)</f>
        <v>19</v>
      </c>
      <c r="AG117" s="33">
        <f>AF117+IF(AG1=$Q$53,условия!$Q$136+условия!$Q$146+условия!$Q$154+условия!$Q$166,0)+AG51*(условия!$Q$136+условия!$Q$146+условия!$Q$154+условия!$Q$166)</f>
        <v>19</v>
      </c>
      <c r="AH117" s="33">
        <f>AG117+IF(AH1=$Q$53,условия!$Q$136+условия!$Q$146+условия!$Q$154+условия!$Q$166,0)+AH51*(условия!$Q$136+условия!$Q$146+условия!$Q$154+условия!$Q$166)</f>
        <v>19</v>
      </c>
      <c r="AI117" s="33">
        <f>AH117+IF(AI1=$Q$53,условия!$Q$136+условия!$Q$146+условия!$Q$154+условия!$Q$166,0)+AI51*(условия!$Q$136+условия!$Q$146+условия!$Q$154+условия!$Q$166)</f>
        <v>19</v>
      </c>
      <c r="AJ117" s="33">
        <f>AI117+IF(AJ1=$Q$53,условия!$Q$136+условия!$Q$146+условия!$Q$154+условия!$Q$166,0)+AJ51*(условия!$Q$136+условия!$Q$146+условия!$Q$154+условия!$Q$166)</f>
        <v>19</v>
      </c>
      <c r="AK117" s="33">
        <f>AJ117+IF(AK1=$Q$53,условия!$Q$136+условия!$Q$146+условия!$Q$154+условия!$Q$166,0)+AK51*(условия!$Q$136+условия!$Q$146+условия!$Q$154+условия!$Q$166)</f>
        <v>19</v>
      </c>
      <c r="AL117" s="33">
        <f>AK117+IF(AL1=$Q$53,условия!$Q$136+условия!$Q$146+условия!$Q$154+условия!$Q$166,0)+AL51*(условия!$Q$136+условия!$Q$146+условия!$Q$154+условия!$Q$166)</f>
        <v>19</v>
      </c>
      <c r="AM117" s="33">
        <f>AL117+IF(AM1=$Q$53,условия!$Q$136+условия!$Q$146+условия!$Q$154+условия!$Q$166,0)+AM51*(условия!$Q$136+условия!$Q$146+условия!$Q$154+условия!$Q$166)</f>
        <v>19</v>
      </c>
      <c r="AN117" s="33">
        <f>AM117+IF(AN1=$Q$53,условия!$Q$136+условия!$Q$146+условия!$Q$154+условия!$Q$166,0)+AN51*(условия!$Q$136+условия!$Q$146+условия!$Q$154+условия!$Q$166)</f>
        <v>19</v>
      </c>
      <c r="AO117" s="33">
        <f>AN117+IF(AO1=$Q$53,условия!$Q$136+условия!$Q$146+условия!$Q$154+условия!$Q$166,0)+AO51*(условия!$Q$136+условия!$Q$146+условия!$Q$154+условия!$Q$166)</f>
        <v>19</v>
      </c>
      <c r="AP117" s="33">
        <f>AO117+IF(AP1=$Q$53,условия!$Q$136+условия!$Q$146+условия!$Q$154+условия!$Q$166,0)+AP51*(условия!$Q$136+условия!$Q$146+условия!$Q$154+условия!$Q$166)</f>
        <v>19</v>
      </c>
      <c r="AQ117" s="33">
        <f>AP117+IF(AQ1=$Q$53,условия!$Q$136+условия!$Q$146+условия!$Q$154+условия!$Q$166,0)+AQ51*(условия!$Q$136+условия!$Q$146+условия!$Q$154+условия!$Q$166)</f>
        <v>19</v>
      </c>
      <c r="AR117" s="33">
        <f>AQ117+IF(AR1=$Q$53,условия!$Q$136+условия!$Q$146+условия!$Q$154+условия!$Q$166,0)+AR51*(условия!$Q$136+условия!$Q$146+условия!$Q$154+условия!$Q$166)</f>
        <v>19</v>
      </c>
      <c r="AS117" s="33">
        <f>AR117+IF(AS1=$Q$53,условия!$Q$136+условия!$Q$146+условия!$Q$154+условия!$Q$166,0)+AS51*(условия!$Q$136+условия!$Q$146+условия!$Q$154+условия!$Q$166)</f>
        <v>19</v>
      </c>
      <c r="AT117" s="33">
        <f>AS117+IF(AT1=$Q$53,условия!$Q$136+условия!$Q$146+условия!$Q$154+условия!$Q$166,0)+AT51*(условия!$Q$136+условия!$Q$146+условия!$Q$154+условия!$Q$166)</f>
        <v>19</v>
      </c>
      <c r="AU117" s="33">
        <f>AT117+IF(AU1=$Q$53,условия!$Q$136+условия!$Q$146+условия!$Q$154+условия!$Q$166,0)+AU51*(условия!$Q$136+условия!$Q$146+условия!$Q$154+условия!$Q$166)</f>
        <v>19</v>
      </c>
      <c r="AV117" s="33">
        <f>AU117+IF(AV1=$Q$53,условия!$Q$136+условия!$Q$146+условия!$Q$154+условия!$Q$166,0)+AV51*(условия!$Q$136+условия!$Q$146+условия!$Q$154+условия!$Q$166)</f>
        <v>19</v>
      </c>
      <c r="AW117" s="33">
        <f>AV117+IF(AW1=$Q$53,условия!$Q$136+условия!$Q$146+условия!$Q$154+условия!$Q$166,0)+AW51*(условия!$Q$136+условия!$Q$146+условия!$Q$154+условия!$Q$166)</f>
        <v>19</v>
      </c>
      <c r="AX117" s="33">
        <f>AW117+IF(AX1=$Q$53,условия!$Q$136+условия!$Q$146+условия!$Q$154+условия!$Q$166,0)+AX51*(условия!$Q$136+условия!$Q$146+условия!$Q$154+условия!$Q$166)</f>
        <v>19</v>
      </c>
      <c r="AY117" s="33">
        <f>AX117+IF(AY1=$Q$53,условия!$Q$136+условия!$Q$146+условия!$Q$154+условия!$Q$166,0)+AY51*(условия!$Q$136+условия!$Q$146+условия!$Q$154+условия!$Q$166)</f>
        <v>19</v>
      </c>
      <c r="AZ117" s="33">
        <f>AY117+IF(AZ1=$Q$53,условия!$Q$136+условия!$Q$146+условия!$Q$154+условия!$Q$166,0)+AZ51*(условия!$Q$136+условия!$Q$146+условия!$Q$154+условия!$Q$166)</f>
        <v>19</v>
      </c>
      <c r="BA117" s="33">
        <f>AZ117+IF(BA1=$Q$53,условия!$Q$136+условия!$Q$146+условия!$Q$154+условия!$Q$166,0)+BA51*(условия!$Q$136+условия!$Q$146+условия!$Q$154+условия!$Q$166)</f>
        <v>19</v>
      </c>
      <c r="BB117" s="33">
        <f>BA117+IF(BB1=$Q$53,условия!$Q$136+условия!$Q$146+условия!$Q$154+условия!$Q$166,0)+BB51*(условия!$Q$136+условия!$Q$146+условия!$Q$154+условия!$Q$166)</f>
        <v>19</v>
      </c>
      <c r="BC117" s="33">
        <f>BB117+IF(BC1=$Q$53,условия!$Q$136+условия!$Q$146+условия!$Q$154+условия!$Q$166,0)+BC51*(условия!$Q$136+условия!$Q$146+условия!$Q$154+условия!$Q$166)</f>
        <v>19</v>
      </c>
      <c r="BD117" s="33">
        <f>BC117+IF(BD1=$Q$53,условия!$Q$136+условия!$Q$146+условия!$Q$154+условия!$Q$166,0)+BD51*(условия!$Q$136+условия!$Q$146+условия!$Q$154+условия!$Q$166)</f>
        <v>19</v>
      </c>
      <c r="BE117" s="33">
        <f>BD117+IF(BE1=$Q$53,условия!$Q$136+условия!$Q$146+условия!$Q$154+условия!$Q$166,0)+BE51*(условия!$Q$136+условия!$Q$146+условия!$Q$154+условия!$Q$166)</f>
        <v>19</v>
      </c>
      <c r="BF117" s="33">
        <f>BE117+IF(BF1=$Q$53,условия!$Q$136+условия!$Q$146+условия!$Q$154+условия!$Q$166,0)+BF51*(условия!$Q$136+условия!$Q$146+условия!$Q$154+условия!$Q$166)</f>
        <v>19</v>
      </c>
      <c r="BG117" s="33">
        <f>BF117+IF(BG1=$Q$53,условия!$Q$136+условия!$Q$146+условия!$Q$154+условия!$Q$166,0)+BG51*(условия!$Q$136+условия!$Q$146+условия!$Q$154+условия!$Q$166)</f>
        <v>19</v>
      </c>
      <c r="BH117" s="33">
        <f>BG117+IF(BH1=$Q$53,условия!$Q$136+условия!$Q$146+условия!$Q$154+условия!$Q$166,0)+BH51*(условия!$Q$136+условия!$Q$146+условия!$Q$154+условия!$Q$166)</f>
        <v>19</v>
      </c>
      <c r="BI117" s="33">
        <f>BH117+IF(BI1=$Q$53,условия!$Q$136+условия!$Q$146+условия!$Q$154+условия!$Q$166,0)+BI51*(условия!$Q$136+условия!$Q$146+условия!$Q$154+условия!$Q$166)</f>
        <v>19</v>
      </c>
      <c r="BJ117" s="33">
        <f>BI117+IF(BJ1=$Q$53,условия!$Q$136+условия!$Q$146+условия!$Q$154+условия!$Q$166,0)+BJ51*(условия!$Q$136+условия!$Q$146+условия!$Q$154+условия!$Q$166)</f>
        <v>19</v>
      </c>
      <c r="BK117" s="33">
        <f>BJ117+IF(BK1=$Q$53,условия!$Q$136+условия!$Q$146+условия!$Q$154+условия!$Q$166,0)+BK51*(условия!$Q$136+условия!$Q$146+условия!$Q$154+условия!$Q$166)</f>
        <v>19</v>
      </c>
      <c r="BL117" s="33">
        <f>BK117+IF(BL1=$Q$53,условия!$Q$136+условия!$Q$146+условия!$Q$154+условия!$Q$166,0)+BL51*(условия!$Q$136+условия!$Q$146+условия!$Q$154+условия!$Q$166)</f>
        <v>19</v>
      </c>
      <c r="BM117" s="33">
        <f>BL117+IF(BM1=$Q$53,условия!$Q$136+условия!$Q$146+условия!$Q$154+условия!$Q$166,0)+BM51*(условия!$Q$136+условия!$Q$146+условия!$Q$154+условия!$Q$166)</f>
        <v>19</v>
      </c>
      <c r="BN117" s="33">
        <f>BM117+IF(BN1=$Q$53,условия!$Q$136+условия!$Q$146+условия!$Q$154+условия!$Q$166,0)+BN51*(условия!$Q$136+условия!$Q$146+условия!$Q$154+условия!$Q$166)</f>
        <v>19</v>
      </c>
      <c r="BO117" s="33">
        <f>BN117+IF(BO1=$Q$53,условия!$Q$136+условия!$Q$146+условия!$Q$154+условия!$Q$166,0)+BO51*(условия!$Q$136+условия!$Q$146+условия!$Q$154+условия!$Q$166)</f>
        <v>19</v>
      </c>
      <c r="BP117" s="33">
        <f>BO117+IF(BP1=$Q$53,условия!$Q$136+условия!$Q$146+условия!$Q$154+условия!$Q$166,0)+BP51*(условия!$Q$136+условия!$Q$146+условия!$Q$154+условия!$Q$166)</f>
        <v>19</v>
      </c>
      <c r="BQ117" s="33">
        <f>BP117+IF(BQ1=$Q$53,условия!$Q$136+условия!$Q$146+условия!$Q$154+условия!$Q$166,0)+BQ51*(условия!$Q$136+условия!$Q$146+условия!$Q$154+условия!$Q$166)</f>
        <v>19</v>
      </c>
      <c r="BR117" s="33">
        <f>BQ117+IF(BR1=$Q$53,условия!$Q$136+условия!$Q$146+условия!$Q$154+условия!$Q$166,0)+BR51*(условия!$Q$136+условия!$Q$146+условия!$Q$154+условия!$Q$166)</f>
        <v>19</v>
      </c>
      <c r="BS117" s="33">
        <f>BR117+IF(BS1=$Q$53,условия!$Q$136+условия!$Q$146+условия!$Q$154+условия!$Q$166,0)+BS51*(условия!$Q$136+условия!$Q$146+условия!$Q$154+условия!$Q$166)</f>
        <v>19</v>
      </c>
      <c r="BT117" s="33">
        <f>BS117+IF(BT1=$Q$53,условия!$Q$136+условия!$Q$146+условия!$Q$154+условия!$Q$166,0)+BT51*(условия!$Q$136+условия!$Q$146+условия!$Q$154+условия!$Q$166)</f>
        <v>19</v>
      </c>
      <c r="BU117" s="33">
        <f>BT117+IF(BU1=$Q$53,условия!$Q$136+условия!$Q$146+условия!$Q$154+условия!$Q$166,0)+BU51*(условия!$Q$136+условия!$Q$146+условия!$Q$154+условия!$Q$166)</f>
        <v>19</v>
      </c>
      <c r="BV117" s="33">
        <f>BU117+IF(BV1=$Q$53,условия!$Q$136+условия!$Q$146+условия!$Q$154+условия!$Q$166,0)+BV51*(условия!$Q$136+условия!$Q$146+условия!$Q$154+условия!$Q$166)</f>
        <v>19</v>
      </c>
      <c r="BW117" s="33">
        <f>BV117+IF(BW1=$Q$53,условия!$Q$136+условия!$Q$146+условия!$Q$154+условия!$Q$166,0)+BW51*(условия!$Q$136+условия!$Q$146+условия!$Q$154+условия!$Q$166)</f>
        <v>19</v>
      </c>
      <c r="BX117" s="33">
        <f>BW117+IF(BX1=$Q$53,условия!$Q$136+условия!$Q$146+условия!$Q$154+условия!$Q$166,0)+BX51*(условия!$Q$136+условия!$Q$146+условия!$Q$154+условия!$Q$166)</f>
        <v>19</v>
      </c>
      <c r="BY117" s="33">
        <f>BX117+IF(BY1=$Q$53,условия!$Q$136+условия!$Q$146+условия!$Q$154+условия!$Q$166,0)+BY51*(условия!$Q$136+условия!$Q$146+условия!$Q$154+условия!$Q$166)</f>
        <v>38</v>
      </c>
      <c r="BZ117" s="33">
        <f>BY117+IF(BZ1=$Q$53,условия!$Q$136+условия!$Q$146+условия!$Q$154+условия!$Q$166,0)+BZ51*(условия!$Q$136+условия!$Q$146+условия!$Q$154+условия!$Q$166)</f>
        <v>38</v>
      </c>
      <c r="CA117" s="33">
        <f>BZ117+IF(CA1=$Q$53,условия!$Q$136+условия!$Q$146+условия!$Q$154+условия!$Q$166,0)+CA51*(условия!$Q$136+условия!$Q$146+условия!$Q$154+условия!$Q$166)</f>
        <v>38</v>
      </c>
      <c r="CB117" s="33">
        <f>CA117+IF(CB1=$Q$53,условия!$Q$136+условия!$Q$146+условия!$Q$154+условия!$Q$166,0)+CB51*(условия!$Q$136+условия!$Q$146+условия!$Q$154+условия!$Q$166)</f>
        <v>38</v>
      </c>
      <c r="CC117" s="33">
        <f>CB117+IF(CC1=$Q$53,условия!$Q$136+условия!$Q$146+условия!$Q$154+условия!$Q$166,0)+CC51*(условия!$Q$136+условия!$Q$146+условия!$Q$154+условия!$Q$166)</f>
        <v>38</v>
      </c>
      <c r="CD117" s="33">
        <f>CC117+IF(CD1=$Q$53,условия!$Q$136+условия!$Q$146+условия!$Q$154+условия!$Q$166,0)+CD51*(условия!$Q$136+условия!$Q$146+условия!$Q$154+условия!$Q$166)</f>
        <v>38</v>
      </c>
      <c r="CE117" s="33">
        <f>CD117+IF(CE1=$Q$53,условия!$Q$136+условия!$Q$146+условия!$Q$154+условия!$Q$166,0)+CE51*(условия!$Q$136+условия!$Q$146+условия!$Q$154+условия!$Q$166)</f>
        <v>38</v>
      </c>
      <c r="CF117" s="33">
        <f>CE117+IF(CF1=$Q$53,условия!$Q$136+условия!$Q$146+условия!$Q$154+условия!$Q$166,0)+CF51*(условия!$Q$136+условия!$Q$146+условия!$Q$154+условия!$Q$166)</f>
        <v>38</v>
      </c>
      <c r="CG117" s="33">
        <f>CF117+IF(CG1=$Q$53,условия!$Q$136+условия!$Q$146+условия!$Q$154+условия!$Q$166,0)+CG51*(условия!$Q$136+условия!$Q$146+условия!$Q$154+условия!$Q$166)</f>
        <v>38</v>
      </c>
      <c r="CH117" s="33">
        <f>CG117+IF(CH1=$Q$53,условия!$Q$136+условия!$Q$146+условия!$Q$154+условия!$Q$166,0)+CH51*(условия!$Q$136+условия!$Q$146+условия!$Q$154+условия!$Q$166)</f>
        <v>38</v>
      </c>
      <c r="CI117" s="33">
        <f>CH117+IF(CI1=$Q$53,условия!$Q$136+условия!$Q$146+условия!$Q$154+условия!$Q$166,0)+CI51*(условия!$Q$136+условия!$Q$146+условия!$Q$154+условия!$Q$166)</f>
        <v>38</v>
      </c>
      <c r="CJ117" s="33">
        <f>CI117+IF(CJ1=$Q$53,условия!$Q$136+условия!$Q$146+условия!$Q$154+условия!$Q$166,0)+CJ51*(условия!$Q$136+условия!$Q$146+условия!$Q$154+условия!$Q$166)</f>
        <v>38</v>
      </c>
      <c r="CK117" s="33">
        <f>CJ117+IF(CK1=$Q$53,условия!$Q$136+условия!$Q$146+условия!$Q$154+условия!$Q$166,0)+CK51*(условия!$Q$136+условия!$Q$146+условия!$Q$154+условия!$Q$166)</f>
        <v>38</v>
      </c>
      <c r="CL117" s="33">
        <f>CK117+IF(CL1=$Q$53,условия!$Q$136+условия!$Q$146+условия!$Q$154+условия!$Q$166,0)+CL51*(условия!$Q$136+условия!$Q$146+условия!$Q$154+условия!$Q$166)</f>
        <v>38</v>
      </c>
      <c r="CM117" s="33">
        <f>CL117+IF(CM1=$Q$53,условия!$Q$136+условия!$Q$146+условия!$Q$154+условия!$Q$166,0)+CM51*(условия!$Q$136+условия!$Q$146+условия!$Q$154+условия!$Q$166)</f>
        <v>38</v>
      </c>
      <c r="CN117" s="33">
        <f>CM117+IF(CN1=$Q$53,условия!$Q$136+условия!$Q$146+условия!$Q$154+условия!$Q$166,0)+CN51*(условия!$Q$136+условия!$Q$146+условия!$Q$154+условия!$Q$166)</f>
        <v>38</v>
      </c>
      <c r="CO117" s="33">
        <f>CN117+IF(CO1=$Q$53,условия!$Q$136+условия!$Q$146+условия!$Q$154+условия!$Q$166,0)+CO51*(условия!$Q$136+условия!$Q$146+условия!$Q$154+условия!$Q$166)</f>
        <v>38</v>
      </c>
      <c r="CP117" s="33">
        <f>CO117+IF(CP1=$Q$53,условия!$Q$136+условия!$Q$146+условия!$Q$154+условия!$Q$166,0)+CP51*(условия!$Q$136+условия!$Q$146+условия!$Q$154+условия!$Q$166)</f>
        <v>38</v>
      </c>
      <c r="CQ117" s="33">
        <f>CP117+IF(CQ1=$Q$53,условия!$Q$136+условия!$Q$146+условия!$Q$154+условия!$Q$166,0)+CQ51*(условия!$Q$136+условия!$Q$146+условия!$Q$154+условия!$Q$166)</f>
        <v>38</v>
      </c>
      <c r="CR117" s="33">
        <f>CQ117+IF(CR1=$Q$53,условия!$Q$136+условия!$Q$146+условия!$Q$154+условия!$Q$166,0)+CR51*(условия!$Q$136+условия!$Q$146+условия!$Q$154+условия!$Q$166)</f>
        <v>38</v>
      </c>
      <c r="CS117" s="33">
        <f>CR117+IF(CS1=$Q$53,условия!$Q$136+условия!$Q$146+условия!$Q$154+условия!$Q$166,0)+CS51*(условия!$Q$136+условия!$Q$146+условия!$Q$154+условия!$Q$166)</f>
        <v>38</v>
      </c>
      <c r="CT117" s="33">
        <f>CS117+IF(CT1=$Q$53,условия!$Q$136+условия!$Q$146+условия!$Q$154+условия!$Q$166,0)+CT51*(условия!$Q$136+условия!$Q$146+условия!$Q$154+условия!$Q$166)</f>
        <v>38</v>
      </c>
      <c r="CU117" s="33">
        <f>CT117+IF(CU1=$Q$53,условия!$Q$136+условия!$Q$146+условия!$Q$154+условия!$Q$166,0)+CU51*(условия!$Q$136+условия!$Q$146+условия!$Q$154+условия!$Q$166)</f>
        <v>38</v>
      </c>
      <c r="CV117" s="33">
        <f>CU117+IF(CV1=$Q$53,условия!$Q$136+условия!$Q$146+условия!$Q$154+условия!$Q$166,0)+CV51*(условия!$Q$136+условия!$Q$146+условия!$Q$154+условия!$Q$166)</f>
        <v>38</v>
      </c>
      <c r="CW117" s="33">
        <f>CV117+IF(CW1=$Q$53,условия!$Q$136+условия!$Q$146+условия!$Q$154+условия!$Q$166,0)+CW51*(условия!$Q$136+условия!$Q$146+условия!$Q$154+условия!$Q$166)</f>
        <v>38</v>
      </c>
      <c r="CX117" s="33">
        <f>CW117+IF(CX1=$Q$53,условия!$Q$136+условия!$Q$146+условия!$Q$154+условия!$Q$166,0)+CX51*(условия!$Q$136+условия!$Q$146+условия!$Q$154+условия!$Q$166)</f>
        <v>38</v>
      </c>
      <c r="CY117" s="33">
        <f>CX117+IF(CY1=$Q$53,условия!$Q$136+условия!$Q$146+условия!$Q$154+условия!$Q$166,0)+CY51*(условия!$Q$136+условия!$Q$146+условия!$Q$154+условия!$Q$166)</f>
        <v>38</v>
      </c>
      <c r="CZ117" s="33">
        <f>CY117+IF(CZ1=$Q$53,условия!$Q$136+условия!$Q$146+условия!$Q$154+условия!$Q$166,0)+CZ51*(условия!$Q$136+условия!$Q$146+условия!$Q$154+условия!$Q$166)</f>
        <v>38</v>
      </c>
      <c r="DA117" s="33">
        <f>CZ117+IF(DA1=$Q$53,условия!$Q$136+условия!$Q$146+условия!$Q$154+условия!$Q$166,0)+DA51*(условия!$Q$136+условия!$Q$146+условия!$Q$154+условия!$Q$166)</f>
        <v>38</v>
      </c>
      <c r="DB117" s="33">
        <f>DA117+IF(DB1=$Q$53,условия!$Q$136+условия!$Q$146+условия!$Q$154+условия!$Q$166,0)+DB51*(условия!$Q$136+условия!$Q$146+условия!$Q$154+условия!$Q$166)</f>
        <v>38</v>
      </c>
      <c r="DC117" s="33">
        <f>DB117+IF(DC1=$Q$53,условия!$Q$136+условия!$Q$146+условия!$Q$154+условия!$Q$166,0)+DC51*(условия!$Q$136+условия!$Q$146+условия!$Q$154+условия!$Q$166)</f>
        <v>38</v>
      </c>
      <c r="DD117" s="33">
        <f>DC117+IF(DD1=$Q$53,условия!$Q$136+условия!$Q$146+условия!$Q$154+условия!$Q$166,0)+DD51*(условия!$Q$136+условия!$Q$146+условия!$Q$154+условия!$Q$166)</f>
        <v>38</v>
      </c>
      <c r="DE117" s="33">
        <f>DD117+IF(DE1=$Q$53,условия!$Q$136+условия!$Q$146+условия!$Q$154+условия!$Q$166,0)+DE51*(условия!$Q$136+условия!$Q$146+условия!$Q$154+условия!$Q$166)</f>
        <v>38</v>
      </c>
      <c r="DF117" s="33">
        <f>DE117+IF(DF1=$Q$53,условия!$Q$136+условия!$Q$146+условия!$Q$154+условия!$Q$166,0)+DF51*(условия!$Q$136+условия!$Q$146+условия!$Q$154+условия!$Q$166)</f>
        <v>38</v>
      </c>
      <c r="DG117" s="33">
        <f>DF117+IF(DG1=$Q$53,условия!$Q$136+условия!$Q$146+условия!$Q$154+условия!$Q$166,0)+DG51*(условия!$Q$136+условия!$Q$146+условия!$Q$154+условия!$Q$166)</f>
        <v>38</v>
      </c>
      <c r="DH117" s="33">
        <f>DG117+IF(DH1=$Q$53,условия!$Q$136+условия!$Q$146+условия!$Q$154+условия!$Q$166,0)+DH51*(условия!$Q$136+условия!$Q$146+условия!$Q$154+условия!$Q$166)</f>
        <v>38</v>
      </c>
      <c r="DI117" s="33">
        <f>DH117+IF(DI1=$Q$53,условия!$Q$136+условия!$Q$146+условия!$Q$154+условия!$Q$166,0)+DI51*(условия!$Q$136+условия!$Q$146+условия!$Q$154+условия!$Q$166)</f>
        <v>38</v>
      </c>
      <c r="DJ117" s="33">
        <f>DI117+IF(DJ1=$Q$53,условия!$Q$136+условия!$Q$146+условия!$Q$154+условия!$Q$166,0)+DJ51*(условия!$Q$136+условия!$Q$146+условия!$Q$154+условия!$Q$166)</f>
        <v>57</v>
      </c>
      <c r="DK117" s="33">
        <f>DJ117+IF(DK1=$Q$53,условия!$Q$136+условия!$Q$146+условия!$Q$154+условия!$Q$166,0)+DK51*(условия!$Q$136+условия!$Q$146+условия!$Q$154+условия!$Q$166)</f>
        <v>57</v>
      </c>
      <c r="DL117" s="33">
        <f>DK117+IF(DL1=$Q$53,условия!$Q$136+условия!$Q$146+условия!$Q$154+условия!$Q$166,0)+DL51*(условия!$Q$136+условия!$Q$146+условия!$Q$154+условия!$Q$166)</f>
        <v>57</v>
      </c>
      <c r="DM117" s="33">
        <f>DL117+IF(DM1=$Q$53,условия!$Q$136+условия!$Q$146+условия!$Q$154+условия!$Q$166,0)+DM51*(условия!$Q$136+условия!$Q$146+условия!$Q$154+условия!$Q$166)</f>
        <v>57</v>
      </c>
      <c r="DN117" s="33">
        <f>DM117+IF(DN1=$Q$53,условия!$Q$136+условия!$Q$146+условия!$Q$154+условия!$Q$166,0)+DN51*(условия!$Q$136+условия!$Q$146+условия!$Q$154+условия!$Q$166)</f>
        <v>57</v>
      </c>
      <c r="DO117" s="33">
        <f>DN117+IF(DO1=$Q$53,условия!$Q$136+условия!$Q$146+условия!$Q$154+условия!$Q$166,0)+DO51*(условия!$Q$136+условия!$Q$146+условия!$Q$154+условия!$Q$166)</f>
        <v>57</v>
      </c>
      <c r="DP117" s="33">
        <f>DO117+IF(DP1=$Q$53,условия!$Q$136+условия!$Q$146+условия!$Q$154+условия!$Q$166,0)+DP51*(условия!$Q$136+условия!$Q$146+условия!$Q$154+условия!$Q$166)</f>
        <v>57</v>
      </c>
      <c r="DQ117" s="33">
        <f>DP117+IF(DQ1=$Q$53,условия!$Q$136+условия!$Q$146+условия!$Q$154+условия!$Q$166,0)+DQ51*(условия!$Q$136+условия!$Q$146+условия!$Q$154+условия!$Q$166)</f>
        <v>57</v>
      </c>
      <c r="DR117" s="33">
        <f>DQ117+IF(DR1=$Q$53,условия!$Q$136+условия!$Q$146+условия!$Q$154+условия!$Q$166,0)+DR51*(условия!$Q$136+условия!$Q$146+условия!$Q$154+условия!$Q$166)</f>
        <v>57</v>
      </c>
      <c r="DS117" s="33">
        <f>DR117+IF(DS1=$Q$53,условия!$Q$136+условия!$Q$146+условия!$Q$154+условия!$Q$166,0)+DS51*(условия!$Q$136+условия!$Q$146+условия!$Q$154+условия!$Q$166)</f>
        <v>57</v>
      </c>
      <c r="DT117" s="33">
        <f>DS117+IF(DT1=$Q$53,условия!$Q$136+условия!$Q$146+условия!$Q$154+условия!$Q$166,0)+DT51*(условия!$Q$136+условия!$Q$146+условия!$Q$154+условия!$Q$166)</f>
        <v>57</v>
      </c>
      <c r="DU117" s="33">
        <f>DT117+IF(DU1=$Q$53,условия!$Q$136+условия!$Q$146+условия!$Q$154+условия!$Q$166,0)+DU51*(условия!$Q$136+условия!$Q$146+условия!$Q$154+условия!$Q$166)</f>
        <v>57</v>
      </c>
      <c r="DV117" s="33">
        <f>DU117+IF(DV1=$Q$53,условия!$Q$136+условия!$Q$146+условия!$Q$154+условия!$Q$166,0)+DV51*(условия!$Q$136+условия!$Q$146+условия!$Q$154+условия!$Q$166)</f>
        <v>57</v>
      </c>
      <c r="DW117" s="33">
        <f>DV117+IF(DW1=$Q$53,условия!$Q$136+условия!$Q$146+условия!$Q$154+условия!$Q$166,0)+DW51*(условия!$Q$136+условия!$Q$146+условия!$Q$154+условия!$Q$166)</f>
        <v>57</v>
      </c>
      <c r="DX117" s="33">
        <f>DW117+IF(DX1=$Q$53,условия!$Q$136+условия!$Q$146+условия!$Q$154+условия!$Q$166,0)+DX51*(условия!$Q$136+условия!$Q$146+условия!$Q$154+условия!$Q$166)</f>
        <v>57</v>
      </c>
      <c r="DY117" s="33">
        <f>DX117+IF(DY1=$Q$53,условия!$Q$136+условия!$Q$146+условия!$Q$154+условия!$Q$166,0)+DY51*(условия!$Q$136+условия!$Q$146+условия!$Q$154+условия!$Q$166)</f>
        <v>57</v>
      </c>
      <c r="DZ117" s="33">
        <f>DY117+IF(DZ1=$Q$53,условия!$Q$136+условия!$Q$146+условия!$Q$154+условия!$Q$166,0)+DZ51*(условия!$Q$136+условия!$Q$146+условия!$Q$154+условия!$Q$166)</f>
        <v>57</v>
      </c>
      <c r="EA117" s="33">
        <f>DZ117+IF(EA1=$Q$53,условия!$Q$136+условия!$Q$146+условия!$Q$154+условия!$Q$166,0)+EA51*(условия!$Q$136+условия!$Q$146+условия!$Q$154+условия!$Q$166)</f>
        <v>57</v>
      </c>
      <c r="EB117" s="33">
        <f>EA117+IF(EB1=$Q$53,условия!$Q$136+условия!$Q$146+условия!$Q$154+условия!$Q$166,0)+EB51*(условия!$Q$136+условия!$Q$146+условия!$Q$154+условия!$Q$166)</f>
        <v>57</v>
      </c>
      <c r="EC117" s="33">
        <f>EB117+IF(EC1=$Q$53,условия!$Q$136+условия!$Q$146+условия!$Q$154+условия!$Q$166,0)+EC51*(условия!$Q$136+условия!$Q$146+условия!$Q$154+условия!$Q$166)</f>
        <v>57</v>
      </c>
      <c r="ED117" s="33">
        <f>EC117+IF(ED1=$Q$53,условия!$Q$136+условия!$Q$146+условия!$Q$154+условия!$Q$166,0)+ED51*(условия!$Q$136+условия!$Q$146+условия!$Q$154+условия!$Q$166)</f>
        <v>57</v>
      </c>
      <c r="EE117" s="33">
        <f>ED117+IF(EE1=$Q$53,условия!$Q$136+условия!$Q$146+условия!$Q$154+условия!$Q$166,0)+EE51*(условия!$Q$136+условия!$Q$146+условия!$Q$154+условия!$Q$166)</f>
        <v>57</v>
      </c>
      <c r="EF117" s="33">
        <f>EE117+IF(EF1=$Q$53,условия!$Q$136+условия!$Q$146+условия!$Q$154+условия!$Q$166,0)+EF51*(условия!$Q$136+условия!$Q$146+условия!$Q$154+условия!$Q$166)</f>
        <v>57</v>
      </c>
      <c r="EG117" s="33">
        <f>EF117+IF(EG1=$Q$53,условия!$Q$136+условия!$Q$146+условия!$Q$154+условия!$Q$166,0)+EG51*(условия!$Q$136+условия!$Q$146+условия!$Q$154+условия!$Q$166)</f>
        <v>57</v>
      </c>
      <c r="EH117" s="33">
        <f>EG117+IF(EH1=$Q$53,условия!$Q$136+условия!$Q$146+условия!$Q$154+условия!$Q$166,0)+EH51*(условия!$Q$136+условия!$Q$146+условия!$Q$154+условия!$Q$166)</f>
        <v>57</v>
      </c>
      <c r="EI117" s="33">
        <f>EH117+IF(EI1=$Q$53,условия!$Q$136+условия!$Q$146+условия!$Q$154+условия!$Q$166,0)+EI51*(условия!$Q$136+условия!$Q$146+условия!$Q$154+условия!$Q$166)</f>
        <v>57</v>
      </c>
      <c r="EJ117" s="3"/>
      <c r="EK117" s="3"/>
    </row>
    <row r="118" spans="1:14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</row>
    <row r="119" spans="1:141" x14ac:dyDescent="0.25">
      <c r="A119" s="3"/>
      <c r="B119" s="3"/>
      <c r="C119" s="3"/>
      <c r="D119" s="3"/>
      <c r="E119" s="3"/>
      <c r="F119" s="10" t="str">
        <f>KPI!$F$121</f>
        <v>количество штатных управленческих сотрудников</v>
      </c>
      <c r="G119" s="3"/>
      <c r="H119" s="3"/>
      <c r="I119" s="3"/>
      <c r="J119" s="5" t="str">
        <f>IF($F119="","",INDEX(KPI!$I$11:$I$275,SUMIFS(KPI!$E$11:$E$275,KPI!$F$11:$F$275,$F119)))</f>
        <v>чел</v>
      </c>
      <c r="K119" s="3"/>
      <c r="L119" s="3"/>
      <c r="M119" s="3"/>
      <c r="N119" s="3"/>
      <c r="O119" s="3"/>
      <c r="P119" s="3"/>
      <c r="Q119" s="12"/>
      <c r="R119" s="3"/>
      <c r="S119" s="55"/>
      <c r="T119" s="33">
        <f>SUMIFS(условия!$162:$162,условия!$8:$8,"&lt;="&amp;T$9,условия!$9:$9,"&gt;="&amp;T$9)+SUMIFS(условия!$170:$170,условия!$8:$8,"&lt;="&amp;T$9,условия!$9:$9,"&gt;="&amp;T$9)</f>
        <v>5</v>
      </c>
      <c r="U119" s="33">
        <f>SUMIFS(условия!$162:$162,условия!$8:$8,"&lt;="&amp;U$9,условия!$9:$9,"&gt;="&amp;U$9)+SUMIFS(условия!$170:$170,условия!$8:$8,"&lt;="&amp;U$9,условия!$9:$9,"&gt;="&amp;U$9)</f>
        <v>5</v>
      </c>
      <c r="V119" s="33">
        <f>SUMIFS(условия!$162:$162,условия!$8:$8,"&lt;="&amp;V$9,условия!$9:$9,"&gt;="&amp;V$9)+SUMIFS(условия!$170:$170,условия!$8:$8,"&lt;="&amp;V$9,условия!$9:$9,"&gt;="&amp;V$9)</f>
        <v>5</v>
      </c>
      <c r="W119" s="33">
        <f>SUMIFS(условия!$162:$162,условия!$8:$8,"&lt;="&amp;W$9,условия!$9:$9,"&gt;="&amp;W$9)+SUMIFS(условия!$170:$170,условия!$8:$8,"&lt;="&amp;W$9,условия!$9:$9,"&gt;="&amp;W$9)</f>
        <v>5</v>
      </c>
      <c r="X119" s="33">
        <f>SUMIFS(условия!$162:$162,условия!$8:$8,"&lt;="&amp;X$9,условия!$9:$9,"&gt;="&amp;X$9)+SUMIFS(условия!$170:$170,условия!$8:$8,"&lt;="&amp;X$9,условия!$9:$9,"&gt;="&amp;X$9)</f>
        <v>5</v>
      </c>
      <c r="Y119" s="33">
        <f>SUMIFS(условия!$162:$162,условия!$8:$8,"&lt;="&amp;Y$9,условия!$9:$9,"&gt;="&amp;Y$9)+SUMIFS(условия!$170:$170,условия!$8:$8,"&lt;="&amp;Y$9,условия!$9:$9,"&gt;="&amp;Y$9)</f>
        <v>5</v>
      </c>
      <c r="Z119" s="33">
        <f>SUMIFS(условия!$162:$162,условия!$8:$8,"&lt;="&amp;Z$9,условия!$9:$9,"&gt;="&amp;Z$9)+SUMIFS(условия!$170:$170,условия!$8:$8,"&lt;="&amp;Z$9,условия!$9:$9,"&gt;="&amp;Z$9)</f>
        <v>5</v>
      </c>
      <c r="AA119" s="33">
        <f>SUMIFS(условия!$162:$162,условия!$8:$8,"&lt;="&amp;AA$9,условия!$9:$9,"&gt;="&amp;AA$9)+SUMIFS(условия!$170:$170,условия!$8:$8,"&lt;="&amp;AA$9,условия!$9:$9,"&gt;="&amp;AA$9)</f>
        <v>5</v>
      </c>
      <c r="AB119" s="33">
        <f>SUMIFS(условия!$162:$162,условия!$8:$8,"&lt;="&amp;AB$9,условия!$9:$9,"&gt;="&amp;AB$9)+SUMIFS(условия!$170:$170,условия!$8:$8,"&lt;="&amp;AB$9,условия!$9:$9,"&gt;="&amp;AB$9)</f>
        <v>5</v>
      </c>
      <c r="AC119" s="33">
        <f>SUMIFS(условия!$162:$162,условия!$8:$8,"&lt;="&amp;AC$9,условия!$9:$9,"&gt;="&amp;AC$9)+SUMIFS(условия!$170:$170,условия!$8:$8,"&lt;="&amp;AC$9,условия!$9:$9,"&gt;="&amp;AC$9)</f>
        <v>5</v>
      </c>
      <c r="AD119" s="33">
        <f>SUMIFS(условия!$162:$162,условия!$8:$8,"&lt;="&amp;AD$9,условия!$9:$9,"&gt;="&amp;AD$9)+SUMIFS(условия!$170:$170,условия!$8:$8,"&lt;="&amp;AD$9,условия!$9:$9,"&gt;="&amp;AD$9)</f>
        <v>5</v>
      </c>
      <c r="AE119" s="33">
        <f>SUMIFS(условия!$162:$162,условия!$8:$8,"&lt;="&amp;AE$9,условия!$9:$9,"&gt;="&amp;AE$9)+SUMIFS(условия!$170:$170,условия!$8:$8,"&lt;="&amp;AE$9,условия!$9:$9,"&gt;="&amp;AE$9)</f>
        <v>5</v>
      </c>
      <c r="AF119" s="33">
        <f>SUMIFS(условия!$162:$162,условия!$8:$8,"&lt;="&amp;AF$9,условия!$9:$9,"&gt;="&amp;AF$9)+SUMIFS(условия!$170:$170,условия!$8:$8,"&lt;="&amp;AF$9,условия!$9:$9,"&gt;="&amp;AF$9)</f>
        <v>12</v>
      </c>
      <c r="AG119" s="33">
        <f>SUMIFS(условия!$162:$162,условия!$8:$8,"&lt;="&amp;AG$9,условия!$9:$9,"&gt;="&amp;AG$9)+SUMIFS(условия!$170:$170,условия!$8:$8,"&lt;="&amp;AG$9,условия!$9:$9,"&gt;="&amp;AG$9)</f>
        <v>12</v>
      </c>
      <c r="AH119" s="33">
        <f>SUMIFS(условия!$162:$162,условия!$8:$8,"&lt;="&amp;AH$9,условия!$9:$9,"&gt;="&amp;AH$9)+SUMIFS(условия!$170:$170,условия!$8:$8,"&lt;="&amp;AH$9,условия!$9:$9,"&gt;="&amp;AH$9)</f>
        <v>12</v>
      </c>
      <c r="AI119" s="33">
        <f>SUMIFS(условия!$162:$162,условия!$8:$8,"&lt;="&amp;AI$9,условия!$9:$9,"&gt;="&amp;AI$9)+SUMIFS(условия!$170:$170,условия!$8:$8,"&lt;="&amp;AI$9,условия!$9:$9,"&gt;="&amp;AI$9)</f>
        <v>12</v>
      </c>
      <c r="AJ119" s="33">
        <f>SUMIFS(условия!$162:$162,условия!$8:$8,"&lt;="&amp;AJ$9,условия!$9:$9,"&gt;="&amp;AJ$9)+SUMIFS(условия!$170:$170,условия!$8:$8,"&lt;="&amp;AJ$9,условия!$9:$9,"&gt;="&amp;AJ$9)</f>
        <v>12</v>
      </c>
      <c r="AK119" s="33">
        <f>SUMIFS(условия!$162:$162,условия!$8:$8,"&lt;="&amp;AK$9,условия!$9:$9,"&gt;="&amp;AK$9)+SUMIFS(условия!$170:$170,условия!$8:$8,"&lt;="&amp;AK$9,условия!$9:$9,"&gt;="&amp;AK$9)</f>
        <v>12</v>
      </c>
      <c r="AL119" s="33">
        <f>SUMIFS(условия!$162:$162,условия!$8:$8,"&lt;="&amp;AL$9,условия!$9:$9,"&gt;="&amp;AL$9)+SUMIFS(условия!$170:$170,условия!$8:$8,"&lt;="&amp;AL$9,условия!$9:$9,"&gt;="&amp;AL$9)</f>
        <v>12</v>
      </c>
      <c r="AM119" s="33">
        <f>SUMIFS(условия!$162:$162,условия!$8:$8,"&lt;="&amp;AM$9,условия!$9:$9,"&gt;="&amp;AM$9)+SUMIFS(условия!$170:$170,условия!$8:$8,"&lt;="&amp;AM$9,условия!$9:$9,"&gt;="&amp;AM$9)</f>
        <v>12</v>
      </c>
      <c r="AN119" s="33">
        <f>SUMIFS(условия!$162:$162,условия!$8:$8,"&lt;="&amp;AN$9,условия!$9:$9,"&gt;="&amp;AN$9)+SUMIFS(условия!$170:$170,условия!$8:$8,"&lt;="&amp;AN$9,условия!$9:$9,"&gt;="&amp;AN$9)</f>
        <v>12</v>
      </c>
      <c r="AO119" s="33">
        <f>SUMIFS(условия!$162:$162,условия!$8:$8,"&lt;="&amp;AO$9,условия!$9:$9,"&gt;="&amp;AO$9)+SUMIFS(условия!$170:$170,условия!$8:$8,"&lt;="&amp;AO$9,условия!$9:$9,"&gt;="&amp;AO$9)</f>
        <v>12</v>
      </c>
      <c r="AP119" s="33">
        <f>SUMIFS(условия!$162:$162,условия!$8:$8,"&lt;="&amp;AP$9,условия!$9:$9,"&gt;="&amp;AP$9)+SUMIFS(условия!$170:$170,условия!$8:$8,"&lt;="&amp;AP$9,условия!$9:$9,"&gt;="&amp;AP$9)</f>
        <v>12</v>
      </c>
      <c r="AQ119" s="33">
        <f>SUMIFS(условия!$162:$162,условия!$8:$8,"&lt;="&amp;AQ$9,условия!$9:$9,"&gt;="&amp;AQ$9)+SUMIFS(условия!$170:$170,условия!$8:$8,"&lt;="&amp;AQ$9,условия!$9:$9,"&gt;="&amp;AQ$9)</f>
        <v>12</v>
      </c>
      <c r="AR119" s="33">
        <f>SUMIFS(условия!$162:$162,условия!$8:$8,"&lt;="&amp;AR$9,условия!$9:$9,"&gt;="&amp;AR$9)+SUMIFS(условия!$170:$170,условия!$8:$8,"&lt;="&amp;AR$9,условия!$9:$9,"&gt;="&amp;AR$9)</f>
        <v>13</v>
      </c>
      <c r="AS119" s="33">
        <f>SUMIFS(условия!$162:$162,условия!$8:$8,"&lt;="&amp;AS$9,условия!$9:$9,"&gt;="&amp;AS$9)+SUMIFS(условия!$170:$170,условия!$8:$8,"&lt;="&amp;AS$9,условия!$9:$9,"&gt;="&amp;AS$9)</f>
        <v>13</v>
      </c>
      <c r="AT119" s="33">
        <f>SUMIFS(условия!$162:$162,условия!$8:$8,"&lt;="&amp;AT$9,условия!$9:$9,"&gt;="&amp;AT$9)+SUMIFS(условия!$170:$170,условия!$8:$8,"&lt;="&amp;AT$9,условия!$9:$9,"&gt;="&amp;AT$9)</f>
        <v>13</v>
      </c>
      <c r="AU119" s="33">
        <f>SUMIFS(условия!$162:$162,условия!$8:$8,"&lt;="&amp;AU$9,условия!$9:$9,"&gt;="&amp;AU$9)+SUMIFS(условия!$170:$170,условия!$8:$8,"&lt;="&amp;AU$9,условия!$9:$9,"&gt;="&amp;AU$9)</f>
        <v>13</v>
      </c>
      <c r="AV119" s="33">
        <f>SUMIFS(условия!$162:$162,условия!$8:$8,"&lt;="&amp;AV$9,условия!$9:$9,"&gt;="&amp;AV$9)+SUMIFS(условия!$170:$170,условия!$8:$8,"&lt;="&amp;AV$9,условия!$9:$9,"&gt;="&amp;AV$9)</f>
        <v>13</v>
      </c>
      <c r="AW119" s="33">
        <f>SUMIFS(условия!$162:$162,условия!$8:$8,"&lt;="&amp;AW$9,условия!$9:$9,"&gt;="&amp;AW$9)+SUMIFS(условия!$170:$170,условия!$8:$8,"&lt;="&amp;AW$9,условия!$9:$9,"&gt;="&amp;AW$9)</f>
        <v>13</v>
      </c>
      <c r="AX119" s="33">
        <f>SUMIFS(условия!$162:$162,условия!$8:$8,"&lt;="&amp;AX$9,условия!$9:$9,"&gt;="&amp;AX$9)+SUMIFS(условия!$170:$170,условия!$8:$8,"&lt;="&amp;AX$9,условия!$9:$9,"&gt;="&amp;AX$9)</f>
        <v>13</v>
      </c>
      <c r="AY119" s="33">
        <f>SUMIFS(условия!$162:$162,условия!$8:$8,"&lt;="&amp;AY$9,условия!$9:$9,"&gt;="&amp;AY$9)+SUMIFS(условия!$170:$170,условия!$8:$8,"&lt;="&amp;AY$9,условия!$9:$9,"&gt;="&amp;AY$9)</f>
        <v>13</v>
      </c>
      <c r="AZ119" s="33">
        <f>SUMIFS(условия!$162:$162,условия!$8:$8,"&lt;="&amp;AZ$9,условия!$9:$9,"&gt;="&amp;AZ$9)+SUMIFS(условия!$170:$170,условия!$8:$8,"&lt;="&amp;AZ$9,условия!$9:$9,"&gt;="&amp;AZ$9)</f>
        <v>13</v>
      </c>
      <c r="BA119" s="33">
        <f>SUMIFS(условия!$162:$162,условия!$8:$8,"&lt;="&amp;BA$9,условия!$9:$9,"&gt;="&amp;BA$9)+SUMIFS(условия!$170:$170,условия!$8:$8,"&lt;="&amp;BA$9,условия!$9:$9,"&gt;="&amp;BA$9)</f>
        <v>13</v>
      </c>
      <c r="BB119" s="33">
        <f>SUMIFS(условия!$162:$162,условия!$8:$8,"&lt;="&amp;BB$9,условия!$9:$9,"&gt;="&amp;BB$9)+SUMIFS(условия!$170:$170,условия!$8:$8,"&lt;="&amp;BB$9,условия!$9:$9,"&gt;="&amp;BB$9)</f>
        <v>13</v>
      </c>
      <c r="BC119" s="33">
        <f>SUMIFS(условия!$162:$162,условия!$8:$8,"&lt;="&amp;BC$9,условия!$9:$9,"&gt;="&amp;BC$9)+SUMIFS(условия!$170:$170,условия!$8:$8,"&lt;="&amp;BC$9,условия!$9:$9,"&gt;="&amp;BC$9)</f>
        <v>13</v>
      </c>
      <c r="BD119" s="33">
        <f>SUMIFS(условия!$162:$162,условия!$8:$8,"&lt;="&amp;BD$9,условия!$9:$9,"&gt;="&amp;BD$9)+SUMIFS(условия!$170:$170,условия!$8:$8,"&lt;="&amp;BD$9,условия!$9:$9,"&gt;="&amp;BD$9)</f>
        <v>15</v>
      </c>
      <c r="BE119" s="33">
        <f>SUMIFS(условия!$162:$162,условия!$8:$8,"&lt;="&amp;BE$9,условия!$9:$9,"&gt;="&amp;BE$9)+SUMIFS(условия!$170:$170,условия!$8:$8,"&lt;="&amp;BE$9,условия!$9:$9,"&gt;="&amp;BE$9)</f>
        <v>15</v>
      </c>
      <c r="BF119" s="33">
        <f>SUMIFS(условия!$162:$162,условия!$8:$8,"&lt;="&amp;BF$9,условия!$9:$9,"&gt;="&amp;BF$9)+SUMIFS(условия!$170:$170,условия!$8:$8,"&lt;="&amp;BF$9,условия!$9:$9,"&gt;="&amp;BF$9)</f>
        <v>15</v>
      </c>
      <c r="BG119" s="33">
        <f>SUMIFS(условия!$162:$162,условия!$8:$8,"&lt;="&amp;BG$9,условия!$9:$9,"&gt;="&amp;BG$9)+SUMIFS(условия!$170:$170,условия!$8:$8,"&lt;="&amp;BG$9,условия!$9:$9,"&gt;="&amp;BG$9)</f>
        <v>15</v>
      </c>
      <c r="BH119" s="33">
        <f>SUMIFS(условия!$162:$162,условия!$8:$8,"&lt;="&amp;BH$9,условия!$9:$9,"&gt;="&amp;BH$9)+SUMIFS(условия!$170:$170,условия!$8:$8,"&lt;="&amp;BH$9,условия!$9:$9,"&gt;="&amp;BH$9)</f>
        <v>15</v>
      </c>
      <c r="BI119" s="33">
        <f>SUMIFS(условия!$162:$162,условия!$8:$8,"&lt;="&amp;BI$9,условия!$9:$9,"&gt;="&amp;BI$9)+SUMIFS(условия!$170:$170,условия!$8:$8,"&lt;="&amp;BI$9,условия!$9:$9,"&gt;="&amp;BI$9)</f>
        <v>15</v>
      </c>
      <c r="BJ119" s="33">
        <f>SUMIFS(условия!$162:$162,условия!$8:$8,"&lt;="&amp;BJ$9,условия!$9:$9,"&gt;="&amp;BJ$9)+SUMIFS(условия!$170:$170,условия!$8:$8,"&lt;="&amp;BJ$9,условия!$9:$9,"&gt;="&amp;BJ$9)</f>
        <v>15</v>
      </c>
      <c r="BK119" s="33">
        <f>SUMIFS(условия!$162:$162,условия!$8:$8,"&lt;="&amp;BK$9,условия!$9:$9,"&gt;="&amp;BK$9)+SUMIFS(условия!$170:$170,условия!$8:$8,"&lt;="&amp;BK$9,условия!$9:$9,"&gt;="&amp;BK$9)</f>
        <v>15</v>
      </c>
      <c r="BL119" s="33">
        <f>SUMIFS(условия!$162:$162,условия!$8:$8,"&lt;="&amp;BL$9,условия!$9:$9,"&gt;="&amp;BL$9)+SUMIFS(условия!$170:$170,условия!$8:$8,"&lt;="&amp;BL$9,условия!$9:$9,"&gt;="&amp;BL$9)</f>
        <v>15</v>
      </c>
      <c r="BM119" s="33">
        <f>SUMIFS(условия!$162:$162,условия!$8:$8,"&lt;="&amp;BM$9,условия!$9:$9,"&gt;="&amp;BM$9)+SUMIFS(условия!$170:$170,условия!$8:$8,"&lt;="&amp;BM$9,условия!$9:$9,"&gt;="&amp;BM$9)</f>
        <v>15</v>
      </c>
      <c r="BN119" s="33">
        <f>SUMIFS(условия!$162:$162,условия!$8:$8,"&lt;="&amp;BN$9,условия!$9:$9,"&gt;="&amp;BN$9)+SUMIFS(условия!$170:$170,условия!$8:$8,"&lt;="&amp;BN$9,условия!$9:$9,"&gt;="&amp;BN$9)</f>
        <v>15</v>
      </c>
      <c r="BO119" s="33">
        <f>SUMIFS(условия!$162:$162,условия!$8:$8,"&lt;="&amp;BO$9,условия!$9:$9,"&gt;="&amp;BO$9)+SUMIFS(условия!$170:$170,условия!$8:$8,"&lt;="&amp;BO$9,условия!$9:$9,"&gt;="&amp;BO$9)</f>
        <v>15</v>
      </c>
      <c r="BP119" s="33">
        <f>SUMIFS(условия!$162:$162,условия!$8:$8,"&lt;="&amp;BP$9,условия!$9:$9,"&gt;="&amp;BP$9)+SUMIFS(условия!$170:$170,условия!$8:$8,"&lt;="&amp;BP$9,условия!$9:$9,"&gt;="&amp;BP$9)</f>
        <v>15</v>
      </c>
      <c r="BQ119" s="33">
        <f>SUMIFS(условия!$162:$162,условия!$8:$8,"&lt;="&amp;BQ$9,условия!$9:$9,"&gt;="&amp;BQ$9)+SUMIFS(условия!$170:$170,условия!$8:$8,"&lt;="&amp;BQ$9,условия!$9:$9,"&gt;="&amp;BQ$9)</f>
        <v>15</v>
      </c>
      <c r="BR119" s="33">
        <f>SUMIFS(условия!$162:$162,условия!$8:$8,"&lt;="&amp;BR$9,условия!$9:$9,"&gt;="&amp;BR$9)+SUMIFS(условия!$170:$170,условия!$8:$8,"&lt;="&amp;BR$9,условия!$9:$9,"&gt;="&amp;BR$9)</f>
        <v>15</v>
      </c>
      <c r="BS119" s="33">
        <f>SUMIFS(условия!$162:$162,условия!$8:$8,"&lt;="&amp;BS$9,условия!$9:$9,"&gt;="&amp;BS$9)+SUMIFS(условия!$170:$170,условия!$8:$8,"&lt;="&amp;BS$9,условия!$9:$9,"&gt;="&amp;BS$9)</f>
        <v>15</v>
      </c>
      <c r="BT119" s="33">
        <f>SUMIFS(условия!$162:$162,условия!$8:$8,"&lt;="&amp;BT$9,условия!$9:$9,"&gt;="&amp;BT$9)+SUMIFS(условия!$170:$170,условия!$8:$8,"&lt;="&amp;BT$9,условия!$9:$9,"&gt;="&amp;BT$9)</f>
        <v>15</v>
      </c>
      <c r="BU119" s="33">
        <f>SUMIFS(условия!$162:$162,условия!$8:$8,"&lt;="&amp;BU$9,условия!$9:$9,"&gt;="&amp;BU$9)+SUMIFS(условия!$170:$170,условия!$8:$8,"&lt;="&amp;BU$9,условия!$9:$9,"&gt;="&amp;BU$9)</f>
        <v>15</v>
      </c>
      <c r="BV119" s="33">
        <f>SUMIFS(условия!$162:$162,условия!$8:$8,"&lt;="&amp;BV$9,условия!$9:$9,"&gt;="&amp;BV$9)+SUMIFS(условия!$170:$170,условия!$8:$8,"&lt;="&amp;BV$9,условия!$9:$9,"&gt;="&amp;BV$9)</f>
        <v>15</v>
      </c>
      <c r="BW119" s="33">
        <f>SUMIFS(условия!$162:$162,условия!$8:$8,"&lt;="&amp;BW$9,условия!$9:$9,"&gt;="&amp;BW$9)+SUMIFS(условия!$170:$170,условия!$8:$8,"&lt;="&amp;BW$9,условия!$9:$9,"&gt;="&amp;BW$9)</f>
        <v>15</v>
      </c>
      <c r="BX119" s="33">
        <f>SUMIFS(условия!$162:$162,условия!$8:$8,"&lt;="&amp;BX$9,условия!$9:$9,"&gt;="&amp;BX$9)+SUMIFS(условия!$170:$170,условия!$8:$8,"&lt;="&amp;BX$9,условия!$9:$9,"&gt;="&amp;BX$9)</f>
        <v>15</v>
      </c>
      <c r="BY119" s="33">
        <f>SUMIFS(условия!$162:$162,условия!$8:$8,"&lt;="&amp;BY$9,условия!$9:$9,"&gt;="&amp;BY$9)+SUMIFS(условия!$170:$170,условия!$8:$8,"&lt;="&amp;BY$9,условия!$9:$9,"&gt;="&amp;BY$9)</f>
        <v>15</v>
      </c>
      <c r="BZ119" s="33">
        <f>SUMIFS(условия!$162:$162,условия!$8:$8,"&lt;="&amp;BZ$9,условия!$9:$9,"&gt;="&amp;BZ$9)+SUMIFS(условия!$170:$170,условия!$8:$8,"&lt;="&amp;BZ$9,условия!$9:$9,"&gt;="&amp;BZ$9)</f>
        <v>15</v>
      </c>
      <c r="CA119" s="33">
        <f>SUMIFS(условия!$162:$162,условия!$8:$8,"&lt;="&amp;CA$9,условия!$9:$9,"&gt;="&amp;CA$9)+SUMIFS(условия!$170:$170,условия!$8:$8,"&lt;="&amp;CA$9,условия!$9:$9,"&gt;="&amp;CA$9)</f>
        <v>15</v>
      </c>
      <c r="CB119" s="33">
        <f>SUMIFS(условия!$162:$162,условия!$8:$8,"&lt;="&amp;CB$9,условия!$9:$9,"&gt;="&amp;CB$9)+SUMIFS(условия!$170:$170,условия!$8:$8,"&lt;="&amp;CB$9,условия!$9:$9,"&gt;="&amp;CB$9)</f>
        <v>15</v>
      </c>
      <c r="CC119" s="33">
        <f>SUMIFS(условия!$162:$162,условия!$8:$8,"&lt;="&amp;CC$9,условия!$9:$9,"&gt;="&amp;CC$9)+SUMIFS(условия!$170:$170,условия!$8:$8,"&lt;="&amp;CC$9,условия!$9:$9,"&gt;="&amp;CC$9)</f>
        <v>15</v>
      </c>
      <c r="CD119" s="33">
        <f>SUMIFS(условия!$162:$162,условия!$8:$8,"&lt;="&amp;CD$9,условия!$9:$9,"&gt;="&amp;CD$9)+SUMIFS(условия!$170:$170,условия!$8:$8,"&lt;="&amp;CD$9,условия!$9:$9,"&gt;="&amp;CD$9)</f>
        <v>15</v>
      </c>
      <c r="CE119" s="33">
        <f>SUMIFS(условия!$162:$162,условия!$8:$8,"&lt;="&amp;CE$9,условия!$9:$9,"&gt;="&amp;CE$9)+SUMIFS(условия!$170:$170,условия!$8:$8,"&lt;="&amp;CE$9,условия!$9:$9,"&gt;="&amp;CE$9)</f>
        <v>15</v>
      </c>
      <c r="CF119" s="33">
        <f>SUMIFS(условия!$162:$162,условия!$8:$8,"&lt;="&amp;CF$9,условия!$9:$9,"&gt;="&amp;CF$9)+SUMIFS(условия!$170:$170,условия!$8:$8,"&lt;="&amp;CF$9,условия!$9:$9,"&gt;="&amp;CF$9)</f>
        <v>15</v>
      </c>
      <c r="CG119" s="33">
        <f>SUMIFS(условия!$162:$162,условия!$8:$8,"&lt;="&amp;CG$9,условия!$9:$9,"&gt;="&amp;CG$9)+SUMIFS(условия!$170:$170,условия!$8:$8,"&lt;="&amp;CG$9,условия!$9:$9,"&gt;="&amp;CG$9)</f>
        <v>15</v>
      </c>
      <c r="CH119" s="33">
        <f>SUMIFS(условия!$162:$162,условия!$8:$8,"&lt;="&amp;CH$9,условия!$9:$9,"&gt;="&amp;CH$9)+SUMIFS(условия!$170:$170,условия!$8:$8,"&lt;="&amp;CH$9,условия!$9:$9,"&gt;="&amp;CH$9)</f>
        <v>15</v>
      </c>
      <c r="CI119" s="33">
        <f>SUMIFS(условия!$162:$162,условия!$8:$8,"&lt;="&amp;CI$9,условия!$9:$9,"&gt;="&amp;CI$9)+SUMIFS(условия!$170:$170,условия!$8:$8,"&lt;="&amp;CI$9,условия!$9:$9,"&gt;="&amp;CI$9)</f>
        <v>15</v>
      </c>
      <c r="CJ119" s="33">
        <f>SUMIFS(условия!$162:$162,условия!$8:$8,"&lt;="&amp;CJ$9,условия!$9:$9,"&gt;="&amp;CJ$9)+SUMIFS(условия!$170:$170,условия!$8:$8,"&lt;="&amp;CJ$9,условия!$9:$9,"&gt;="&amp;CJ$9)</f>
        <v>15</v>
      </c>
      <c r="CK119" s="33">
        <f>SUMIFS(условия!$162:$162,условия!$8:$8,"&lt;="&amp;CK$9,условия!$9:$9,"&gt;="&amp;CK$9)+SUMIFS(условия!$170:$170,условия!$8:$8,"&lt;="&amp;CK$9,условия!$9:$9,"&gt;="&amp;CK$9)</f>
        <v>15</v>
      </c>
      <c r="CL119" s="33">
        <f>SUMIFS(условия!$162:$162,условия!$8:$8,"&lt;="&amp;CL$9,условия!$9:$9,"&gt;="&amp;CL$9)+SUMIFS(условия!$170:$170,условия!$8:$8,"&lt;="&amp;CL$9,условия!$9:$9,"&gt;="&amp;CL$9)</f>
        <v>15</v>
      </c>
      <c r="CM119" s="33">
        <f>SUMIFS(условия!$162:$162,условия!$8:$8,"&lt;="&amp;CM$9,условия!$9:$9,"&gt;="&amp;CM$9)+SUMIFS(условия!$170:$170,условия!$8:$8,"&lt;="&amp;CM$9,условия!$9:$9,"&gt;="&amp;CM$9)</f>
        <v>15</v>
      </c>
      <c r="CN119" s="33">
        <f>SUMIFS(условия!$162:$162,условия!$8:$8,"&lt;="&amp;CN$9,условия!$9:$9,"&gt;="&amp;CN$9)+SUMIFS(условия!$170:$170,условия!$8:$8,"&lt;="&amp;CN$9,условия!$9:$9,"&gt;="&amp;CN$9)</f>
        <v>15</v>
      </c>
      <c r="CO119" s="33">
        <f>SUMIFS(условия!$162:$162,условия!$8:$8,"&lt;="&amp;CO$9,условия!$9:$9,"&gt;="&amp;CO$9)+SUMIFS(условия!$170:$170,условия!$8:$8,"&lt;="&amp;CO$9,условия!$9:$9,"&gt;="&amp;CO$9)</f>
        <v>15</v>
      </c>
      <c r="CP119" s="33">
        <f>SUMIFS(условия!$162:$162,условия!$8:$8,"&lt;="&amp;CP$9,условия!$9:$9,"&gt;="&amp;CP$9)+SUMIFS(условия!$170:$170,условия!$8:$8,"&lt;="&amp;CP$9,условия!$9:$9,"&gt;="&amp;CP$9)</f>
        <v>15</v>
      </c>
      <c r="CQ119" s="33">
        <f>SUMIFS(условия!$162:$162,условия!$8:$8,"&lt;="&amp;CQ$9,условия!$9:$9,"&gt;="&amp;CQ$9)+SUMIFS(условия!$170:$170,условия!$8:$8,"&lt;="&amp;CQ$9,условия!$9:$9,"&gt;="&amp;CQ$9)</f>
        <v>15</v>
      </c>
      <c r="CR119" s="33">
        <f>SUMIFS(условия!$162:$162,условия!$8:$8,"&lt;="&amp;CR$9,условия!$9:$9,"&gt;="&amp;CR$9)+SUMIFS(условия!$170:$170,условия!$8:$8,"&lt;="&amp;CR$9,условия!$9:$9,"&gt;="&amp;CR$9)</f>
        <v>15</v>
      </c>
      <c r="CS119" s="33">
        <f>SUMIFS(условия!$162:$162,условия!$8:$8,"&lt;="&amp;CS$9,условия!$9:$9,"&gt;="&amp;CS$9)+SUMIFS(условия!$170:$170,условия!$8:$8,"&lt;="&amp;CS$9,условия!$9:$9,"&gt;="&amp;CS$9)</f>
        <v>15</v>
      </c>
      <c r="CT119" s="33">
        <f>SUMIFS(условия!$162:$162,условия!$8:$8,"&lt;="&amp;CT$9,условия!$9:$9,"&gt;="&amp;CT$9)+SUMIFS(условия!$170:$170,условия!$8:$8,"&lt;="&amp;CT$9,условия!$9:$9,"&gt;="&amp;CT$9)</f>
        <v>15</v>
      </c>
      <c r="CU119" s="33">
        <f>SUMIFS(условия!$162:$162,условия!$8:$8,"&lt;="&amp;CU$9,условия!$9:$9,"&gt;="&amp;CU$9)+SUMIFS(условия!$170:$170,условия!$8:$8,"&lt;="&amp;CU$9,условия!$9:$9,"&gt;="&amp;CU$9)</f>
        <v>15</v>
      </c>
      <c r="CV119" s="33">
        <f>SUMIFS(условия!$162:$162,условия!$8:$8,"&lt;="&amp;CV$9,условия!$9:$9,"&gt;="&amp;CV$9)+SUMIFS(условия!$170:$170,условия!$8:$8,"&lt;="&amp;CV$9,условия!$9:$9,"&gt;="&amp;CV$9)</f>
        <v>15</v>
      </c>
      <c r="CW119" s="33">
        <f>SUMIFS(условия!$162:$162,условия!$8:$8,"&lt;="&amp;CW$9,условия!$9:$9,"&gt;="&amp;CW$9)+SUMIFS(условия!$170:$170,условия!$8:$8,"&lt;="&amp;CW$9,условия!$9:$9,"&gt;="&amp;CW$9)</f>
        <v>15</v>
      </c>
      <c r="CX119" s="33">
        <f>SUMIFS(условия!$162:$162,условия!$8:$8,"&lt;="&amp;CX$9,условия!$9:$9,"&gt;="&amp;CX$9)+SUMIFS(условия!$170:$170,условия!$8:$8,"&lt;="&amp;CX$9,условия!$9:$9,"&gt;="&amp;CX$9)</f>
        <v>15</v>
      </c>
      <c r="CY119" s="33">
        <f>SUMIFS(условия!$162:$162,условия!$8:$8,"&lt;="&amp;CY$9,условия!$9:$9,"&gt;="&amp;CY$9)+SUMIFS(условия!$170:$170,условия!$8:$8,"&lt;="&amp;CY$9,условия!$9:$9,"&gt;="&amp;CY$9)</f>
        <v>15</v>
      </c>
      <c r="CZ119" s="33">
        <f>SUMIFS(условия!$162:$162,условия!$8:$8,"&lt;="&amp;CZ$9,условия!$9:$9,"&gt;="&amp;CZ$9)+SUMIFS(условия!$170:$170,условия!$8:$8,"&lt;="&amp;CZ$9,условия!$9:$9,"&gt;="&amp;CZ$9)</f>
        <v>15</v>
      </c>
      <c r="DA119" s="33">
        <f>SUMIFS(условия!$162:$162,условия!$8:$8,"&lt;="&amp;DA$9,условия!$9:$9,"&gt;="&amp;DA$9)+SUMIFS(условия!$170:$170,условия!$8:$8,"&lt;="&amp;DA$9,условия!$9:$9,"&gt;="&amp;DA$9)</f>
        <v>15</v>
      </c>
      <c r="DB119" s="33">
        <f>SUMIFS(условия!$162:$162,условия!$8:$8,"&lt;="&amp;DB$9,условия!$9:$9,"&gt;="&amp;DB$9)+SUMIFS(условия!$170:$170,условия!$8:$8,"&lt;="&amp;DB$9,условия!$9:$9,"&gt;="&amp;DB$9)</f>
        <v>15</v>
      </c>
      <c r="DC119" s="33">
        <f>SUMIFS(условия!$162:$162,условия!$8:$8,"&lt;="&amp;DC$9,условия!$9:$9,"&gt;="&amp;DC$9)+SUMIFS(условия!$170:$170,условия!$8:$8,"&lt;="&amp;DC$9,условия!$9:$9,"&gt;="&amp;DC$9)</f>
        <v>15</v>
      </c>
      <c r="DD119" s="33">
        <f>SUMIFS(условия!$162:$162,условия!$8:$8,"&lt;="&amp;DD$9,условия!$9:$9,"&gt;="&amp;DD$9)+SUMIFS(условия!$170:$170,условия!$8:$8,"&lt;="&amp;DD$9,условия!$9:$9,"&gt;="&amp;DD$9)</f>
        <v>15</v>
      </c>
      <c r="DE119" s="33">
        <f>SUMIFS(условия!$162:$162,условия!$8:$8,"&lt;="&amp;DE$9,условия!$9:$9,"&gt;="&amp;DE$9)+SUMIFS(условия!$170:$170,условия!$8:$8,"&lt;="&amp;DE$9,условия!$9:$9,"&gt;="&amp;DE$9)</f>
        <v>15</v>
      </c>
      <c r="DF119" s="33">
        <f>SUMIFS(условия!$162:$162,условия!$8:$8,"&lt;="&amp;DF$9,условия!$9:$9,"&gt;="&amp;DF$9)+SUMIFS(условия!$170:$170,условия!$8:$8,"&lt;="&amp;DF$9,условия!$9:$9,"&gt;="&amp;DF$9)</f>
        <v>15</v>
      </c>
      <c r="DG119" s="33">
        <f>SUMIFS(условия!$162:$162,условия!$8:$8,"&lt;="&amp;DG$9,условия!$9:$9,"&gt;="&amp;DG$9)+SUMIFS(условия!$170:$170,условия!$8:$8,"&lt;="&amp;DG$9,условия!$9:$9,"&gt;="&amp;DG$9)</f>
        <v>15</v>
      </c>
      <c r="DH119" s="33">
        <f>SUMIFS(условия!$162:$162,условия!$8:$8,"&lt;="&amp;DH$9,условия!$9:$9,"&gt;="&amp;DH$9)+SUMIFS(условия!$170:$170,условия!$8:$8,"&lt;="&amp;DH$9,условия!$9:$9,"&gt;="&amp;DH$9)</f>
        <v>15</v>
      </c>
      <c r="DI119" s="33">
        <f>SUMIFS(условия!$162:$162,условия!$8:$8,"&lt;="&amp;DI$9,условия!$9:$9,"&gt;="&amp;DI$9)+SUMIFS(условия!$170:$170,условия!$8:$8,"&lt;="&amp;DI$9,условия!$9:$9,"&gt;="&amp;DI$9)</f>
        <v>15</v>
      </c>
      <c r="DJ119" s="33">
        <f>SUMIFS(условия!$162:$162,условия!$8:$8,"&lt;="&amp;DJ$9,условия!$9:$9,"&gt;="&amp;DJ$9)+SUMIFS(условия!$170:$170,условия!$8:$8,"&lt;="&amp;DJ$9,условия!$9:$9,"&gt;="&amp;DJ$9)</f>
        <v>15</v>
      </c>
      <c r="DK119" s="33">
        <f>SUMIFS(условия!$162:$162,условия!$8:$8,"&lt;="&amp;DK$9,условия!$9:$9,"&gt;="&amp;DK$9)+SUMIFS(условия!$170:$170,условия!$8:$8,"&lt;="&amp;DK$9,условия!$9:$9,"&gt;="&amp;DK$9)</f>
        <v>15</v>
      </c>
      <c r="DL119" s="33">
        <f>SUMIFS(условия!$162:$162,условия!$8:$8,"&lt;="&amp;DL$9,условия!$9:$9,"&gt;="&amp;DL$9)+SUMIFS(условия!$170:$170,условия!$8:$8,"&lt;="&amp;DL$9,условия!$9:$9,"&gt;="&amp;DL$9)</f>
        <v>15</v>
      </c>
      <c r="DM119" s="33">
        <f>SUMIFS(условия!$162:$162,условия!$8:$8,"&lt;="&amp;DM$9,условия!$9:$9,"&gt;="&amp;DM$9)+SUMIFS(условия!$170:$170,условия!$8:$8,"&lt;="&amp;DM$9,условия!$9:$9,"&gt;="&amp;DM$9)</f>
        <v>15</v>
      </c>
      <c r="DN119" s="33">
        <f>SUMIFS(условия!$162:$162,условия!$8:$8,"&lt;="&amp;DN$9,условия!$9:$9,"&gt;="&amp;DN$9)+SUMIFS(условия!$170:$170,условия!$8:$8,"&lt;="&amp;DN$9,условия!$9:$9,"&gt;="&amp;DN$9)</f>
        <v>15</v>
      </c>
      <c r="DO119" s="33">
        <f>SUMIFS(условия!$162:$162,условия!$8:$8,"&lt;="&amp;DO$9,условия!$9:$9,"&gt;="&amp;DO$9)+SUMIFS(условия!$170:$170,условия!$8:$8,"&lt;="&amp;DO$9,условия!$9:$9,"&gt;="&amp;DO$9)</f>
        <v>15</v>
      </c>
      <c r="DP119" s="33">
        <f>SUMIFS(условия!$162:$162,условия!$8:$8,"&lt;="&amp;DP$9,условия!$9:$9,"&gt;="&amp;DP$9)+SUMIFS(условия!$170:$170,условия!$8:$8,"&lt;="&amp;DP$9,условия!$9:$9,"&gt;="&amp;DP$9)</f>
        <v>15</v>
      </c>
      <c r="DQ119" s="33">
        <f>SUMIFS(условия!$162:$162,условия!$8:$8,"&lt;="&amp;DQ$9,условия!$9:$9,"&gt;="&amp;DQ$9)+SUMIFS(условия!$170:$170,условия!$8:$8,"&lt;="&amp;DQ$9,условия!$9:$9,"&gt;="&amp;DQ$9)</f>
        <v>15</v>
      </c>
      <c r="DR119" s="33">
        <f>SUMIFS(условия!$162:$162,условия!$8:$8,"&lt;="&amp;DR$9,условия!$9:$9,"&gt;="&amp;DR$9)+SUMIFS(условия!$170:$170,условия!$8:$8,"&lt;="&amp;DR$9,условия!$9:$9,"&gt;="&amp;DR$9)</f>
        <v>15</v>
      </c>
      <c r="DS119" s="33">
        <f>SUMIFS(условия!$162:$162,условия!$8:$8,"&lt;="&amp;DS$9,условия!$9:$9,"&gt;="&amp;DS$9)+SUMIFS(условия!$170:$170,условия!$8:$8,"&lt;="&amp;DS$9,условия!$9:$9,"&gt;="&amp;DS$9)</f>
        <v>15</v>
      </c>
      <c r="DT119" s="33">
        <f>SUMIFS(условия!$162:$162,условия!$8:$8,"&lt;="&amp;DT$9,условия!$9:$9,"&gt;="&amp;DT$9)+SUMIFS(условия!$170:$170,условия!$8:$8,"&lt;="&amp;DT$9,условия!$9:$9,"&gt;="&amp;DT$9)</f>
        <v>15</v>
      </c>
      <c r="DU119" s="33">
        <f>SUMIFS(условия!$162:$162,условия!$8:$8,"&lt;="&amp;DU$9,условия!$9:$9,"&gt;="&amp;DU$9)+SUMIFS(условия!$170:$170,условия!$8:$8,"&lt;="&amp;DU$9,условия!$9:$9,"&gt;="&amp;DU$9)</f>
        <v>15</v>
      </c>
      <c r="DV119" s="33">
        <f>SUMIFS(условия!$162:$162,условия!$8:$8,"&lt;="&amp;DV$9,условия!$9:$9,"&gt;="&amp;DV$9)+SUMIFS(условия!$170:$170,условия!$8:$8,"&lt;="&amp;DV$9,условия!$9:$9,"&gt;="&amp;DV$9)</f>
        <v>15</v>
      </c>
      <c r="DW119" s="33">
        <f>SUMIFS(условия!$162:$162,условия!$8:$8,"&lt;="&amp;DW$9,условия!$9:$9,"&gt;="&amp;DW$9)+SUMIFS(условия!$170:$170,условия!$8:$8,"&lt;="&amp;DW$9,условия!$9:$9,"&gt;="&amp;DW$9)</f>
        <v>15</v>
      </c>
      <c r="DX119" s="33">
        <f>SUMIFS(условия!$162:$162,условия!$8:$8,"&lt;="&amp;DX$9,условия!$9:$9,"&gt;="&amp;DX$9)+SUMIFS(условия!$170:$170,условия!$8:$8,"&lt;="&amp;DX$9,условия!$9:$9,"&gt;="&amp;DX$9)</f>
        <v>15</v>
      </c>
      <c r="DY119" s="33">
        <f>SUMIFS(условия!$162:$162,условия!$8:$8,"&lt;="&amp;DY$9,условия!$9:$9,"&gt;="&amp;DY$9)+SUMIFS(условия!$170:$170,условия!$8:$8,"&lt;="&amp;DY$9,условия!$9:$9,"&gt;="&amp;DY$9)</f>
        <v>15</v>
      </c>
      <c r="DZ119" s="33">
        <f>SUMIFS(условия!$162:$162,условия!$8:$8,"&lt;="&amp;DZ$9,условия!$9:$9,"&gt;="&amp;DZ$9)+SUMIFS(условия!$170:$170,условия!$8:$8,"&lt;="&amp;DZ$9,условия!$9:$9,"&gt;="&amp;DZ$9)</f>
        <v>15</v>
      </c>
      <c r="EA119" s="33">
        <f>SUMIFS(условия!$162:$162,условия!$8:$8,"&lt;="&amp;EA$9,условия!$9:$9,"&gt;="&amp;EA$9)+SUMIFS(условия!$170:$170,условия!$8:$8,"&lt;="&amp;EA$9,условия!$9:$9,"&gt;="&amp;EA$9)</f>
        <v>15</v>
      </c>
      <c r="EB119" s="33">
        <f>SUMIFS(условия!$162:$162,условия!$8:$8,"&lt;="&amp;EB$9,условия!$9:$9,"&gt;="&amp;EB$9)+SUMIFS(условия!$170:$170,условия!$8:$8,"&lt;="&amp;EB$9,условия!$9:$9,"&gt;="&amp;EB$9)</f>
        <v>15</v>
      </c>
      <c r="EC119" s="33">
        <f>SUMIFS(условия!$162:$162,условия!$8:$8,"&lt;="&amp;EC$9,условия!$9:$9,"&gt;="&amp;EC$9)+SUMIFS(условия!$170:$170,условия!$8:$8,"&lt;="&amp;EC$9,условия!$9:$9,"&gt;="&amp;EC$9)</f>
        <v>15</v>
      </c>
      <c r="ED119" s="33">
        <f>SUMIFS(условия!$162:$162,условия!$8:$8,"&lt;="&amp;ED$9,условия!$9:$9,"&gt;="&amp;ED$9)+SUMIFS(условия!$170:$170,условия!$8:$8,"&lt;="&amp;ED$9,условия!$9:$9,"&gt;="&amp;ED$9)</f>
        <v>15</v>
      </c>
      <c r="EE119" s="33">
        <f>SUMIFS(условия!$162:$162,условия!$8:$8,"&lt;="&amp;EE$9,условия!$9:$9,"&gt;="&amp;EE$9)+SUMIFS(условия!$170:$170,условия!$8:$8,"&lt;="&amp;EE$9,условия!$9:$9,"&gt;="&amp;EE$9)</f>
        <v>15</v>
      </c>
      <c r="EF119" s="33">
        <f>SUMIFS(условия!$162:$162,условия!$8:$8,"&lt;="&amp;EF$9,условия!$9:$9,"&gt;="&amp;EF$9)+SUMIFS(условия!$170:$170,условия!$8:$8,"&lt;="&amp;EF$9,условия!$9:$9,"&gt;="&amp;EF$9)</f>
        <v>15</v>
      </c>
      <c r="EG119" s="33">
        <f>SUMIFS(условия!$162:$162,условия!$8:$8,"&lt;="&amp;EG$9,условия!$9:$9,"&gt;="&amp;EG$9)+SUMIFS(условия!$170:$170,условия!$8:$8,"&lt;="&amp;EG$9,условия!$9:$9,"&gt;="&amp;EG$9)</f>
        <v>15</v>
      </c>
      <c r="EH119" s="33">
        <f>SUMIFS(условия!$162:$162,условия!$8:$8,"&lt;="&amp;EH$9,условия!$9:$9,"&gt;="&amp;EH$9)+SUMIFS(условия!$170:$170,условия!$8:$8,"&lt;="&amp;EH$9,условия!$9:$9,"&gt;="&amp;EH$9)</f>
        <v>15</v>
      </c>
      <c r="EI119" s="33">
        <f>SUMIFS(условия!$162:$162,условия!$8:$8,"&lt;="&amp;EI$9,условия!$9:$9,"&gt;="&amp;EI$9)+SUMIFS(условия!$170:$170,условия!$8:$8,"&lt;="&amp;EI$9,условия!$9:$9,"&gt;="&amp;EI$9)</f>
        <v>15</v>
      </c>
      <c r="EJ119" s="3"/>
      <c r="EK119" s="3"/>
    </row>
    <row r="120" spans="1:14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</row>
    <row r="121" spans="1:141" x14ac:dyDescent="0.25">
      <c r="A121" s="3"/>
      <c r="B121" s="3"/>
      <c r="C121" s="3"/>
      <c r="D121" s="3"/>
      <c r="E121" s="3"/>
      <c r="F121" s="10" t="str">
        <f>KPI!$F$122</f>
        <v>количество штатных сотрудников</v>
      </c>
      <c r="G121" s="3"/>
      <c r="H121" s="3"/>
      <c r="I121" s="3"/>
      <c r="J121" s="5" t="str">
        <f>IF($F121="","",INDEX(KPI!$I$11:$I$275,SUMIFS(KPI!$E$11:$E$275,KPI!$F$11:$F$275,$F121)))</f>
        <v>чел</v>
      </c>
      <c r="K121" s="3"/>
      <c r="L121" s="3"/>
      <c r="M121" s="3"/>
      <c r="N121" s="3"/>
      <c r="O121" s="3"/>
      <c r="P121" s="3"/>
      <c r="Q121" s="12"/>
      <c r="R121" s="3"/>
      <c r="S121" s="55"/>
      <c r="T121" s="33">
        <f>SUM(T117:T120)</f>
        <v>5</v>
      </c>
      <c r="U121" s="33">
        <f t="shared" ref="U121:CF121" si="49">SUM(U117:U120)</f>
        <v>5</v>
      </c>
      <c r="V121" s="33">
        <f t="shared" si="49"/>
        <v>5</v>
      </c>
      <c r="W121" s="33">
        <f t="shared" si="49"/>
        <v>5</v>
      </c>
      <c r="X121" s="33">
        <f t="shared" si="49"/>
        <v>24</v>
      </c>
      <c r="Y121" s="33">
        <f t="shared" si="49"/>
        <v>24</v>
      </c>
      <c r="Z121" s="33">
        <f t="shared" si="49"/>
        <v>24</v>
      </c>
      <c r="AA121" s="33">
        <f t="shared" si="49"/>
        <v>24</v>
      </c>
      <c r="AB121" s="33">
        <f t="shared" si="49"/>
        <v>24</v>
      </c>
      <c r="AC121" s="33">
        <f t="shared" si="49"/>
        <v>24</v>
      </c>
      <c r="AD121" s="33">
        <f t="shared" si="49"/>
        <v>24</v>
      </c>
      <c r="AE121" s="33">
        <f t="shared" si="49"/>
        <v>24</v>
      </c>
      <c r="AF121" s="33">
        <f t="shared" si="49"/>
        <v>31</v>
      </c>
      <c r="AG121" s="33">
        <f t="shared" si="49"/>
        <v>31</v>
      </c>
      <c r="AH121" s="33">
        <f t="shared" si="49"/>
        <v>31</v>
      </c>
      <c r="AI121" s="33">
        <f t="shared" si="49"/>
        <v>31</v>
      </c>
      <c r="AJ121" s="33">
        <f t="shared" si="49"/>
        <v>31</v>
      </c>
      <c r="AK121" s="33">
        <f t="shared" si="49"/>
        <v>31</v>
      </c>
      <c r="AL121" s="33">
        <f t="shared" si="49"/>
        <v>31</v>
      </c>
      <c r="AM121" s="33">
        <f t="shared" si="49"/>
        <v>31</v>
      </c>
      <c r="AN121" s="33">
        <f t="shared" si="49"/>
        <v>31</v>
      </c>
      <c r="AO121" s="33">
        <f t="shared" si="49"/>
        <v>31</v>
      </c>
      <c r="AP121" s="33">
        <f t="shared" si="49"/>
        <v>31</v>
      </c>
      <c r="AQ121" s="33">
        <f t="shared" si="49"/>
        <v>31</v>
      </c>
      <c r="AR121" s="33">
        <f t="shared" si="49"/>
        <v>32</v>
      </c>
      <c r="AS121" s="33">
        <f t="shared" si="49"/>
        <v>32</v>
      </c>
      <c r="AT121" s="33">
        <f t="shared" si="49"/>
        <v>32</v>
      </c>
      <c r="AU121" s="33">
        <f t="shared" si="49"/>
        <v>32</v>
      </c>
      <c r="AV121" s="33">
        <f t="shared" si="49"/>
        <v>32</v>
      </c>
      <c r="AW121" s="33">
        <f t="shared" si="49"/>
        <v>32</v>
      </c>
      <c r="AX121" s="33">
        <f t="shared" si="49"/>
        <v>32</v>
      </c>
      <c r="AY121" s="33">
        <f t="shared" si="49"/>
        <v>32</v>
      </c>
      <c r="AZ121" s="33">
        <f t="shared" si="49"/>
        <v>32</v>
      </c>
      <c r="BA121" s="33">
        <f t="shared" si="49"/>
        <v>32</v>
      </c>
      <c r="BB121" s="33">
        <f t="shared" si="49"/>
        <v>32</v>
      </c>
      <c r="BC121" s="33">
        <f t="shared" si="49"/>
        <v>32</v>
      </c>
      <c r="BD121" s="33">
        <f t="shared" si="49"/>
        <v>34</v>
      </c>
      <c r="BE121" s="33">
        <f t="shared" si="49"/>
        <v>34</v>
      </c>
      <c r="BF121" s="33">
        <f t="shared" si="49"/>
        <v>34</v>
      </c>
      <c r="BG121" s="33">
        <f t="shared" si="49"/>
        <v>34</v>
      </c>
      <c r="BH121" s="33">
        <f t="shared" si="49"/>
        <v>34</v>
      </c>
      <c r="BI121" s="33">
        <f t="shared" si="49"/>
        <v>34</v>
      </c>
      <c r="BJ121" s="33">
        <f t="shared" si="49"/>
        <v>34</v>
      </c>
      <c r="BK121" s="33">
        <f t="shared" si="49"/>
        <v>34</v>
      </c>
      <c r="BL121" s="33">
        <f t="shared" si="49"/>
        <v>34</v>
      </c>
      <c r="BM121" s="33">
        <f t="shared" si="49"/>
        <v>34</v>
      </c>
      <c r="BN121" s="33">
        <f t="shared" si="49"/>
        <v>34</v>
      </c>
      <c r="BO121" s="33">
        <f t="shared" si="49"/>
        <v>34</v>
      </c>
      <c r="BP121" s="33">
        <f t="shared" si="49"/>
        <v>34</v>
      </c>
      <c r="BQ121" s="33">
        <f t="shared" si="49"/>
        <v>34</v>
      </c>
      <c r="BR121" s="33">
        <f t="shared" si="49"/>
        <v>34</v>
      </c>
      <c r="BS121" s="33">
        <f t="shared" si="49"/>
        <v>34</v>
      </c>
      <c r="BT121" s="33">
        <f t="shared" si="49"/>
        <v>34</v>
      </c>
      <c r="BU121" s="33">
        <f t="shared" si="49"/>
        <v>34</v>
      </c>
      <c r="BV121" s="33">
        <f t="shared" si="49"/>
        <v>34</v>
      </c>
      <c r="BW121" s="33">
        <f t="shared" si="49"/>
        <v>34</v>
      </c>
      <c r="BX121" s="33">
        <f t="shared" si="49"/>
        <v>34</v>
      </c>
      <c r="BY121" s="33">
        <f t="shared" si="49"/>
        <v>53</v>
      </c>
      <c r="BZ121" s="33">
        <f t="shared" si="49"/>
        <v>53</v>
      </c>
      <c r="CA121" s="33">
        <f t="shared" si="49"/>
        <v>53</v>
      </c>
      <c r="CB121" s="33">
        <f t="shared" si="49"/>
        <v>53</v>
      </c>
      <c r="CC121" s="33">
        <f t="shared" si="49"/>
        <v>53</v>
      </c>
      <c r="CD121" s="33">
        <f t="shared" si="49"/>
        <v>53</v>
      </c>
      <c r="CE121" s="33">
        <f t="shared" si="49"/>
        <v>53</v>
      </c>
      <c r="CF121" s="33">
        <f t="shared" si="49"/>
        <v>53</v>
      </c>
      <c r="CG121" s="33">
        <f t="shared" ref="CG121:EI121" si="50">SUM(CG117:CG120)</f>
        <v>53</v>
      </c>
      <c r="CH121" s="33">
        <f t="shared" si="50"/>
        <v>53</v>
      </c>
      <c r="CI121" s="33">
        <f t="shared" si="50"/>
        <v>53</v>
      </c>
      <c r="CJ121" s="33">
        <f t="shared" si="50"/>
        <v>53</v>
      </c>
      <c r="CK121" s="33">
        <f t="shared" si="50"/>
        <v>53</v>
      </c>
      <c r="CL121" s="33">
        <f t="shared" si="50"/>
        <v>53</v>
      </c>
      <c r="CM121" s="33">
        <f t="shared" si="50"/>
        <v>53</v>
      </c>
      <c r="CN121" s="33">
        <f t="shared" si="50"/>
        <v>53</v>
      </c>
      <c r="CO121" s="33">
        <f t="shared" si="50"/>
        <v>53</v>
      </c>
      <c r="CP121" s="33">
        <f t="shared" si="50"/>
        <v>53</v>
      </c>
      <c r="CQ121" s="33">
        <f t="shared" si="50"/>
        <v>53</v>
      </c>
      <c r="CR121" s="33">
        <f t="shared" si="50"/>
        <v>53</v>
      </c>
      <c r="CS121" s="33">
        <f t="shared" si="50"/>
        <v>53</v>
      </c>
      <c r="CT121" s="33">
        <f t="shared" si="50"/>
        <v>53</v>
      </c>
      <c r="CU121" s="33">
        <f t="shared" si="50"/>
        <v>53</v>
      </c>
      <c r="CV121" s="33">
        <f t="shared" si="50"/>
        <v>53</v>
      </c>
      <c r="CW121" s="33">
        <f t="shared" si="50"/>
        <v>53</v>
      </c>
      <c r="CX121" s="33">
        <f t="shared" si="50"/>
        <v>53</v>
      </c>
      <c r="CY121" s="33">
        <f t="shared" si="50"/>
        <v>53</v>
      </c>
      <c r="CZ121" s="33">
        <f t="shared" si="50"/>
        <v>53</v>
      </c>
      <c r="DA121" s="33">
        <f t="shared" si="50"/>
        <v>53</v>
      </c>
      <c r="DB121" s="33">
        <f t="shared" si="50"/>
        <v>53</v>
      </c>
      <c r="DC121" s="33">
        <f t="shared" si="50"/>
        <v>53</v>
      </c>
      <c r="DD121" s="33">
        <f t="shared" si="50"/>
        <v>53</v>
      </c>
      <c r="DE121" s="33">
        <f t="shared" si="50"/>
        <v>53</v>
      </c>
      <c r="DF121" s="33">
        <f t="shared" si="50"/>
        <v>53</v>
      </c>
      <c r="DG121" s="33">
        <f t="shared" si="50"/>
        <v>53</v>
      </c>
      <c r="DH121" s="33">
        <f t="shared" si="50"/>
        <v>53</v>
      </c>
      <c r="DI121" s="33">
        <f t="shared" si="50"/>
        <v>53</v>
      </c>
      <c r="DJ121" s="33">
        <f t="shared" si="50"/>
        <v>72</v>
      </c>
      <c r="DK121" s="33">
        <f t="shared" si="50"/>
        <v>72</v>
      </c>
      <c r="DL121" s="33">
        <f t="shared" si="50"/>
        <v>72</v>
      </c>
      <c r="DM121" s="33">
        <f t="shared" si="50"/>
        <v>72</v>
      </c>
      <c r="DN121" s="33">
        <f t="shared" si="50"/>
        <v>72</v>
      </c>
      <c r="DO121" s="33">
        <f t="shared" si="50"/>
        <v>72</v>
      </c>
      <c r="DP121" s="33">
        <f t="shared" si="50"/>
        <v>72</v>
      </c>
      <c r="DQ121" s="33">
        <f t="shared" si="50"/>
        <v>72</v>
      </c>
      <c r="DR121" s="33">
        <f t="shared" si="50"/>
        <v>72</v>
      </c>
      <c r="DS121" s="33">
        <f t="shared" si="50"/>
        <v>72</v>
      </c>
      <c r="DT121" s="33">
        <f t="shared" si="50"/>
        <v>72</v>
      </c>
      <c r="DU121" s="33">
        <f t="shared" si="50"/>
        <v>72</v>
      </c>
      <c r="DV121" s="33">
        <f t="shared" si="50"/>
        <v>72</v>
      </c>
      <c r="DW121" s="33">
        <f t="shared" si="50"/>
        <v>72</v>
      </c>
      <c r="DX121" s="33">
        <f t="shared" si="50"/>
        <v>72</v>
      </c>
      <c r="DY121" s="33">
        <f t="shared" si="50"/>
        <v>72</v>
      </c>
      <c r="DZ121" s="33">
        <f t="shared" si="50"/>
        <v>72</v>
      </c>
      <c r="EA121" s="33">
        <f t="shared" si="50"/>
        <v>72</v>
      </c>
      <c r="EB121" s="33">
        <f t="shared" si="50"/>
        <v>72</v>
      </c>
      <c r="EC121" s="33">
        <f t="shared" si="50"/>
        <v>72</v>
      </c>
      <c r="ED121" s="33">
        <f t="shared" si="50"/>
        <v>72</v>
      </c>
      <c r="EE121" s="33">
        <f t="shared" si="50"/>
        <v>72</v>
      </c>
      <c r="EF121" s="33">
        <f t="shared" si="50"/>
        <v>72</v>
      </c>
      <c r="EG121" s="33">
        <f t="shared" si="50"/>
        <v>72</v>
      </c>
      <c r="EH121" s="33">
        <f t="shared" si="50"/>
        <v>72</v>
      </c>
      <c r="EI121" s="33">
        <f t="shared" si="50"/>
        <v>72</v>
      </c>
      <c r="EJ121" s="3"/>
      <c r="EK121" s="3"/>
    </row>
    <row r="122" spans="1:14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</row>
    <row r="123" spans="1:141" x14ac:dyDescent="0.25">
      <c r="A123" s="3"/>
      <c r="B123" s="3"/>
      <c r="C123" s="3"/>
      <c r="D123" s="3"/>
      <c r="E123" s="3"/>
      <c r="F123" s="10" t="str">
        <f>KPI!$F$123</f>
        <v>АНХ расходы</v>
      </c>
      <c r="G123" s="3"/>
      <c r="H123" s="3"/>
      <c r="I123" s="3"/>
      <c r="J123" s="5" t="str">
        <f>IF($F123="","",INDEX(KPI!$I$11:$I$275,SUMIFS(KPI!$E$11:$E$275,KPI!$F$11:$F$275,$F123)))</f>
        <v>тыс.руб.</v>
      </c>
      <c r="K123" s="3"/>
      <c r="L123" s="3"/>
      <c r="M123" s="3"/>
      <c r="N123" s="3"/>
      <c r="O123" s="3"/>
      <c r="P123" s="3"/>
      <c r="Q123" s="12">
        <f>SUM(S123:EJ123)</f>
        <v>15256.364355620111</v>
      </c>
      <c r="R123" s="3"/>
      <c r="S123" s="55"/>
      <c r="T123" s="33">
        <f>T121*SUMIFS(условия!$178:$178,условия!$8:$8,"&lt;="&amp;T$9,условия!$9:$9,"&gt;="&amp;T$9)</f>
        <v>10</v>
      </c>
      <c r="U123" s="33">
        <f>U121*SUMIFS(условия!$178:$178,условия!$8:$8,"&lt;="&amp;U$9,условия!$9:$9,"&gt;="&amp;U$9)</f>
        <v>10</v>
      </c>
      <c r="V123" s="33">
        <f>V121*SUMIFS(условия!$178:$178,условия!$8:$8,"&lt;="&amp;V$9,условия!$9:$9,"&gt;="&amp;V$9)</f>
        <v>10</v>
      </c>
      <c r="W123" s="33">
        <f>W121*SUMIFS(условия!$178:$178,условия!$8:$8,"&lt;="&amp;W$9,условия!$9:$9,"&gt;="&amp;W$9)</f>
        <v>10</v>
      </c>
      <c r="X123" s="33">
        <f>X121*SUMIFS(условия!$178:$178,условия!$8:$8,"&lt;="&amp;X$9,условия!$9:$9,"&gt;="&amp;X$9)</f>
        <v>48</v>
      </c>
      <c r="Y123" s="33">
        <f>Y121*SUMIFS(условия!$178:$178,условия!$8:$8,"&lt;="&amp;Y$9,условия!$9:$9,"&gt;="&amp;Y$9)</f>
        <v>48</v>
      </c>
      <c r="Z123" s="33">
        <f>Z121*SUMIFS(условия!$178:$178,условия!$8:$8,"&lt;="&amp;Z$9,условия!$9:$9,"&gt;="&amp;Z$9)</f>
        <v>48</v>
      </c>
      <c r="AA123" s="33">
        <f>AA121*SUMIFS(условия!$178:$178,условия!$8:$8,"&lt;="&amp;AA$9,условия!$9:$9,"&gt;="&amp;AA$9)</f>
        <v>48</v>
      </c>
      <c r="AB123" s="33">
        <f>AB121*SUMIFS(условия!$178:$178,условия!$8:$8,"&lt;="&amp;AB$9,условия!$9:$9,"&gt;="&amp;AB$9)</f>
        <v>48</v>
      </c>
      <c r="AC123" s="33">
        <f>AC121*SUMIFS(условия!$178:$178,условия!$8:$8,"&lt;="&amp;AC$9,условия!$9:$9,"&gt;="&amp;AC$9)</f>
        <v>48</v>
      </c>
      <c r="AD123" s="33">
        <f>AD121*SUMIFS(условия!$178:$178,условия!$8:$8,"&lt;="&amp;AD$9,условия!$9:$9,"&gt;="&amp;AD$9)</f>
        <v>48</v>
      </c>
      <c r="AE123" s="33">
        <f>AE121*SUMIFS(условия!$178:$178,условия!$8:$8,"&lt;="&amp;AE$9,условия!$9:$9,"&gt;="&amp;AE$9)</f>
        <v>48</v>
      </c>
      <c r="AF123" s="33">
        <f>AF121*SUMIFS(условия!$178:$178,условия!$8:$8,"&lt;="&amp;AF$9,условия!$9:$9,"&gt;="&amp;AF$9)</f>
        <v>65.100000000000009</v>
      </c>
      <c r="AG123" s="33">
        <f>AG121*SUMIFS(условия!$178:$178,условия!$8:$8,"&lt;="&amp;AG$9,условия!$9:$9,"&gt;="&amp;AG$9)</f>
        <v>65.100000000000009</v>
      </c>
      <c r="AH123" s="33">
        <f>AH121*SUMIFS(условия!$178:$178,условия!$8:$8,"&lt;="&amp;AH$9,условия!$9:$9,"&gt;="&amp;AH$9)</f>
        <v>65.100000000000009</v>
      </c>
      <c r="AI123" s="33">
        <f>AI121*SUMIFS(условия!$178:$178,условия!$8:$8,"&lt;="&amp;AI$9,условия!$9:$9,"&gt;="&amp;AI$9)</f>
        <v>65.100000000000009</v>
      </c>
      <c r="AJ123" s="33">
        <f>AJ121*SUMIFS(условия!$178:$178,условия!$8:$8,"&lt;="&amp;AJ$9,условия!$9:$9,"&gt;="&amp;AJ$9)</f>
        <v>65.100000000000009</v>
      </c>
      <c r="AK123" s="33">
        <f>AK121*SUMIFS(условия!$178:$178,условия!$8:$8,"&lt;="&amp;AK$9,условия!$9:$9,"&gt;="&amp;AK$9)</f>
        <v>65.100000000000009</v>
      </c>
      <c r="AL123" s="33">
        <f>AL121*SUMIFS(условия!$178:$178,условия!$8:$8,"&lt;="&amp;AL$9,условия!$9:$9,"&gt;="&amp;AL$9)</f>
        <v>65.100000000000009</v>
      </c>
      <c r="AM123" s="33">
        <f>AM121*SUMIFS(условия!$178:$178,условия!$8:$8,"&lt;="&amp;AM$9,условия!$9:$9,"&gt;="&amp;AM$9)</f>
        <v>65.100000000000009</v>
      </c>
      <c r="AN123" s="33">
        <f>AN121*SUMIFS(условия!$178:$178,условия!$8:$8,"&lt;="&amp;AN$9,условия!$9:$9,"&gt;="&amp;AN$9)</f>
        <v>65.100000000000009</v>
      </c>
      <c r="AO123" s="33">
        <f>AO121*SUMIFS(условия!$178:$178,условия!$8:$8,"&lt;="&amp;AO$9,условия!$9:$9,"&gt;="&amp;AO$9)</f>
        <v>65.100000000000009</v>
      </c>
      <c r="AP123" s="33">
        <f>AP121*SUMIFS(условия!$178:$178,условия!$8:$8,"&lt;="&amp;AP$9,условия!$9:$9,"&gt;="&amp;AP$9)</f>
        <v>65.100000000000009</v>
      </c>
      <c r="AQ123" s="33">
        <f>AQ121*SUMIFS(условия!$178:$178,условия!$8:$8,"&lt;="&amp;AQ$9,условия!$9:$9,"&gt;="&amp;AQ$9)</f>
        <v>65.100000000000009</v>
      </c>
      <c r="AR123" s="33">
        <f>AR121*SUMIFS(условия!$178:$178,условия!$8:$8,"&lt;="&amp;AR$9,условия!$9:$9,"&gt;="&amp;AR$9)</f>
        <v>71.904000000000011</v>
      </c>
      <c r="AS123" s="33">
        <f>AS121*SUMIFS(условия!$178:$178,условия!$8:$8,"&lt;="&amp;AS$9,условия!$9:$9,"&gt;="&amp;AS$9)</f>
        <v>71.904000000000011</v>
      </c>
      <c r="AT123" s="33">
        <f>AT121*SUMIFS(условия!$178:$178,условия!$8:$8,"&lt;="&amp;AT$9,условия!$9:$9,"&gt;="&amp;AT$9)</f>
        <v>71.904000000000011</v>
      </c>
      <c r="AU123" s="33">
        <f>AU121*SUMIFS(условия!$178:$178,условия!$8:$8,"&lt;="&amp;AU$9,условия!$9:$9,"&gt;="&amp;AU$9)</f>
        <v>71.904000000000011</v>
      </c>
      <c r="AV123" s="33">
        <f>AV121*SUMIFS(условия!$178:$178,условия!$8:$8,"&lt;="&amp;AV$9,условия!$9:$9,"&gt;="&amp;AV$9)</f>
        <v>71.904000000000011</v>
      </c>
      <c r="AW123" s="33">
        <f>AW121*SUMIFS(условия!$178:$178,условия!$8:$8,"&lt;="&amp;AW$9,условия!$9:$9,"&gt;="&amp;AW$9)</f>
        <v>71.904000000000011</v>
      </c>
      <c r="AX123" s="33">
        <f>AX121*SUMIFS(условия!$178:$178,условия!$8:$8,"&lt;="&amp;AX$9,условия!$9:$9,"&gt;="&amp;AX$9)</f>
        <v>71.904000000000011</v>
      </c>
      <c r="AY123" s="33">
        <f>AY121*SUMIFS(условия!$178:$178,условия!$8:$8,"&lt;="&amp;AY$9,условия!$9:$9,"&gt;="&amp;AY$9)</f>
        <v>71.904000000000011</v>
      </c>
      <c r="AZ123" s="33">
        <f>AZ121*SUMIFS(условия!$178:$178,условия!$8:$8,"&lt;="&amp;AZ$9,условия!$9:$9,"&gt;="&amp;AZ$9)</f>
        <v>71.904000000000011</v>
      </c>
      <c r="BA123" s="33">
        <f>BA121*SUMIFS(условия!$178:$178,условия!$8:$8,"&lt;="&amp;BA$9,условия!$9:$9,"&gt;="&amp;BA$9)</f>
        <v>71.904000000000011</v>
      </c>
      <c r="BB123" s="33">
        <f>BB121*SUMIFS(условия!$178:$178,условия!$8:$8,"&lt;="&amp;BB$9,условия!$9:$9,"&gt;="&amp;BB$9)</f>
        <v>71.904000000000011</v>
      </c>
      <c r="BC123" s="33">
        <f>BC121*SUMIFS(условия!$178:$178,условия!$8:$8,"&lt;="&amp;BC$9,условия!$9:$9,"&gt;="&amp;BC$9)</f>
        <v>71.904000000000011</v>
      </c>
      <c r="BD123" s="33">
        <f>BD121*SUMIFS(условия!$178:$178,условия!$8:$8,"&lt;="&amp;BD$9,условия!$9:$9,"&gt;="&amp;BD$9)</f>
        <v>82.509840000000025</v>
      </c>
      <c r="BE123" s="33">
        <f>BE121*SUMIFS(условия!$178:$178,условия!$8:$8,"&lt;="&amp;BE$9,условия!$9:$9,"&gt;="&amp;BE$9)</f>
        <v>82.509840000000025</v>
      </c>
      <c r="BF123" s="33">
        <f>BF121*SUMIFS(условия!$178:$178,условия!$8:$8,"&lt;="&amp;BF$9,условия!$9:$9,"&gt;="&amp;BF$9)</f>
        <v>82.509840000000025</v>
      </c>
      <c r="BG123" s="33">
        <f>BG121*SUMIFS(условия!$178:$178,условия!$8:$8,"&lt;="&amp;BG$9,условия!$9:$9,"&gt;="&amp;BG$9)</f>
        <v>82.509840000000025</v>
      </c>
      <c r="BH123" s="33">
        <f>BH121*SUMIFS(условия!$178:$178,условия!$8:$8,"&lt;="&amp;BH$9,условия!$9:$9,"&gt;="&amp;BH$9)</f>
        <v>82.509840000000025</v>
      </c>
      <c r="BI123" s="33">
        <f>BI121*SUMIFS(условия!$178:$178,условия!$8:$8,"&lt;="&amp;BI$9,условия!$9:$9,"&gt;="&amp;BI$9)</f>
        <v>82.509840000000025</v>
      </c>
      <c r="BJ123" s="33">
        <f>BJ121*SUMIFS(условия!$178:$178,условия!$8:$8,"&lt;="&amp;BJ$9,условия!$9:$9,"&gt;="&amp;BJ$9)</f>
        <v>82.509840000000025</v>
      </c>
      <c r="BK123" s="33">
        <f>BK121*SUMIFS(условия!$178:$178,условия!$8:$8,"&lt;="&amp;BK$9,условия!$9:$9,"&gt;="&amp;BK$9)</f>
        <v>82.509840000000025</v>
      </c>
      <c r="BL123" s="33">
        <f>BL121*SUMIFS(условия!$178:$178,условия!$8:$8,"&lt;="&amp;BL$9,условия!$9:$9,"&gt;="&amp;BL$9)</f>
        <v>82.509840000000025</v>
      </c>
      <c r="BM123" s="33">
        <f>BM121*SUMIFS(условия!$178:$178,условия!$8:$8,"&lt;="&amp;BM$9,условия!$9:$9,"&gt;="&amp;BM$9)</f>
        <v>82.509840000000025</v>
      </c>
      <c r="BN123" s="33">
        <f>BN121*SUMIFS(условия!$178:$178,условия!$8:$8,"&lt;="&amp;BN$9,условия!$9:$9,"&gt;="&amp;BN$9)</f>
        <v>82.509840000000025</v>
      </c>
      <c r="BO123" s="33">
        <f>BO121*SUMIFS(условия!$178:$178,условия!$8:$8,"&lt;="&amp;BO$9,условия!$9:$9,"&gt;="&amp;BO$9)</f>
        <v>82.509840000000025</v>
      </c>
      <c r="BP123" s="33">
        <f>BP121*SUMIFS(условия!$178:$178,условия!$8:$8,"&lt;="&amp;BP$9,условия!$9:$9,"&gt;="&amp;BP$9)</f>
        <v>88.285528800000023</v>
      </c>
      <c r="BQ123" s="33">
        <f>BQ121*SUMIFS(условия!$178:$178,условия!$8:$8,"&lt;="&amp;BQ$9,условия!$9:$9,"&gt;="&amp;BQ$9)</f>
        <v>88.285528800000023</v>
      </c>
      <c r="BR123" s="33">
        <f>BR121*SUMIFS(условия!$178:$178,условия!$8:$8,"&lt;="&amp;BR$9,условия!$9:$9,"&gt;="&amp;BR$9)</f>
        <v>88.285528800000023</v>
      </c>
      <c r="BS123" s="33">
        <f>BS121*SUMIFS(условия!$178:$178,условия!$8:$8,"&lt;="&amp;BS$9,условия!$9:$9,"&gt;="&amp;BS$9)</f>
        <v>88.285528800000023</v>
      </c>
      <c r="BT123" s="33">
        <f>BT121*SUMIFS(условия!$178:$178,условия!$8:$8,"&lt;="&amp;BT$9,условия!$9:$9,"&gt;="&amp;BT$9)</f>
        <v>88.285528800000023</v>
      </c>
      <c r="BU123" s="33">
        <f>BU121*SUMIFS(условия!$178:$178,условия!$8:$8,"&lt;="&amp;BU$9,условия!$9:$9,"&gt;="&amp;BU$9)</f>
        <v>88.285528800000023</v>
      </c>
      <c r="BV123" s="33">
        <f>BV121*SUMIFS(условия!$178:$178,условия!$8:$8,"&lt;="&amp;BV$9,условия!$9:$9,"&gt;="&amp;BV$9)</f>
        <v>88.285528800000023</v>
      </c>
      <c r="BW123" s="33">
        <f>BW121*SUMIFS(условия!$178:$178,условия!$8:$8,"&lt;="&amp;BW$9,условия!$9:$9,"&gt;="&amp;BW$9)</f>
        <v>88.285528800000023</v>
      </c>
      <c r="BX123" s="33">
        <f>BX121*SUMIFS(условия!$178:$178,условия!$8:$8,"&lt;="&amp;BX$9,условия!$9:$9,"&gt;="&amp;BX$9)</f>
        <v>88.285528800000023</v>
      </c>
      <c r="BY123" s="33">
        <f>BY121*SUMIFS(условия!$178:$178,условия!$8:$8,"&lt;="&amp;BY$9,условия!$9:$9,"&gt;="&amp;BY$9)</f>
        <v>137.62155960000004</v>
      </c>
      <c r="BZ123" s="33">
        <f>BZ121*SUMIFS(условия!$178:$178,условия!$8:$8,"&lt;="&amp;BZ$9,условия!$9:$9,"&gt;="&amp;BZ$9)</f>
        <v>137.62155960000004</v>
      </c>
      <c r="CA123" s="33">
        <f>CA121*SUMIFS(условия!$178:$178,условия!$8:$8,"&lt;="&amp;CA$9,условия!$9:$9,"&gt;="&amp;CA$9)</f>
        <v>137.62155960000004</v>
      </c>
      <c r="CB123" s="33">
        <f>CB121*SUMIFS(условия!$178:$178,условия!$8:$8,"&lt;="&amp;CB$9,условия!$9:$9,"&gt;="&amp;CB$9)</f>
        <v>145.87885317600004</v>
      </c>
      <c r="CC123" s="33">
        <f>CC121*SUMIFS(условия!$178:$178,условия!$8:$8,"&lt;="&amp;CC$9,условия!$9:$9,"&gt;="&amp;CC$9)</f>
        <v>145.87885317600004</v>
      </c>
      <c r="CD123" s="33">
        <f>CD121*SUMIFS(условия!$178:$178,условия!$8:$8,"&lt;="&amp;CD$9,условия!$9:$9,"&gt;="&amp;CD$9)</f>
        <v>145.87885317600004</v>
      </c>
      <c r="CE123" s="33">
        <f>CE121*SUMIFS(условия!$178:$178,условия!$8:$8,"&lt;="&amp;CE$9,условия!$9:$9,"&gt;="&amp;CE$9)</f>
        <v>145.87885317600004</v>
      </c>
      <c r="CF123" s="33">
        <f>CF121*SUMIFS(условия!$178:$178,условия!$8:$8,"&lt;="&amp;CF$9,условия!$9:$9,"&gt;="&amp;CF$9)</f>
        <v>145.87885317600004</v>
      </c>
      <c r="CG123" s="33">
        <f>CG121*SUMIFS(условия!$178:$178,условия!$8:$8,"&lt;="&amp;CG$9,условия!$9:$9,"&gt;="&amp;CG$9)</f>
        <v>145.87885317600004</v>
      </c>
      <c r="CH123" s="33">
        <f>CH121*SUMIFS(условия!$178:$178,условия!$8:$8,"&lt;="&amp;CH$9,условия!$9:$9,"&gt;="&amp;CH$9)</f>
        <v>145.87885317600004</v>
      </c>
      <c r="CI123" s="33">
        <f>CI121*SUMIFS(условия!$178:$178,условия!$8:$8,"&lt;="&amp;CI$9,условия!$9:$9,"&gt;="&amp;CI$9)</f>
        <v>145.87885317600004</v>
      </c>
      <c r="CJ123" s="33">
        <f>CJ121*SUMIFS(условия!$178:$178,условия!$8:$8,"&lt;="&amp;CJ$9,условия!$9:$9,"&gt;="&amp;CJ$9)</f>
        <v>145.87885317600004</v>
      </c>
      <c r="CK123" s="33">
        <f>CK121*SUMIFS(условия!$178:$178,условия!$8:$8,"&lt;="&amp;CK$9,условия!$9:$9,"&gt;="&amp;CK$9)</f>
        <v>145.87885317600004</v>
      </c>
      <c r="CL123" s="33">
        <f>CL121*SUMIFS(условия!$178:$178,условия!$8:$8,"&lt;="&amp;CL$9,условия!$9:$9,"&gt;="&amp;CL$9)</f>
        <v>145.87885317600004</v>
      </c>
      <c r="CM123" s="33">
        <f>CM121*SUMIFS(условия!$178:$178,условия!$8:$8,"&lt;="&amp;CM$9,условия!$9:$9,"&gt;="&amp;CM$9)</f>
        <v>145.87885317600004</v>
      </c>
      <c r="CN123" s="33">
        <f>CN121*SUMIFS(условия!$178:$178,условия!$8:$8,"&lt;="&amp;CN$9,условия!$9:$9,"&gt;="&amp;CN$9)</f>
        <v>153.17279583480007</v>
      </c>
      <c r="CO123" s="33">
        <f>CO121*SUMIFS(условия!$178:$178,условия!$8:$8,"&lt;="&amp;CO$9,условия!$9:$9,"&gt;="&amp;CO$9)</f>
        <v>153.17279583480007</v>
      </c>
      <c r="CP123" s="33">
        <f>CP121*SUMIFS(условия!$178:$178,условия!$8:$8,"&lt;="&amp;CP$9,условия!$9:$9,"&gt;="&amp;CP$9)</f>
        <v>153.17279583480007</v>
      </c>
      <c r="CQ123" s="33">
        <f>CQ121*SUMIFS(условия!$178:$178,условия!$8:$8,"&lt;="&amp;CQ$9,условия!$9:$9,"&gt;="&amp;CQ$9)</f>
        <v>153.17279583480007</v>
      </c>
      <c r="CR123" s="33">
        <f>CR121*SUMIFS(условия!$178:$178,условия!$8:$8,"&lt;="&amp;CR$9,условия!$9:$9,"&gt;="&amp;CR$9)</f>
        <v>153.17279583480007</v>
      </c>
      <c r="CS123" s="33">
        <f>CS121*SUMIFS(условия!$178:$178,условия!$8:$8,"&lt;="&amp;CS$9,условия!$9:$9,"&gt;="&amp;CS$9)</f>
        <v>153.17279583480007</v>
      </c>
      <c r="CT123" s="33">
        <f>CT121*SUMIFS(условия!$178:$178,условия!$8:$8,"&lt;="&amp;CT$9,условия!$9:$9,"&gt;="&amp;CT$9)</f>
        <v>153.17279583480007</v>
      </c>
      <c r="CU123" s="33">
        <f>CU121*SUMIFS(условия!$178:$178,условия!$8:$8,"&lt;="&amp;CU$9,условия!$9:$9,"&gt;="&amp;CU$9)</f>
        <v>153.17279583480007</v>
      </c>
      <c r="CV123" s="33">
        <f>CV121*SUMIFS(условия!$178:$178,условия!$8:$8,"&lt;="&amp;CV$9,условия!$9:$9,"&gt;="&amp;CV$9)</f>
        <v>153.17279583480007</v>
      </c>
      <c r="CW123" s="33">
        <f>CW121*SUMIFS(условия!$178:$178,условия!$8:$8,"&lt;="&amp;CW$9,условия!$9:$9,"&gt;="&amp;CW$9)</f>
        <v>153.17279583480007</v>
      </c>
      <c r="CX123" s="33">
        <f>CX121*SUMIFS(условия!$178:$178,условия!$8:$8,"&lt;="&amp;CX$9,условия!$9:$9,"&gt;="&amp;CX$9)</f>
        <v>153.17279583480007</v>
      </c>
      <c r="CY123" s="33">
        <f>CY121*SUMIFS(условия!$178:$178,условия!$8:$8,"&lt;="&amp;CY$9,условия!$9:$9,"&gt;="&amp;CY$9)</f>
        <v>153.17279583480007</v>
      </c>
      <c r="CZ123" s="33">
        <f>CZ121*SUMIFS(условия!$178:$178,условия!$8:$8,"&lt;="&amp;CZ$9,условия!$9:$9,"&gt;="&amp;CZ$9)</f>
        <v>159.29970766819207</v>
      </c>
      <c r="DA123" s="33">
        <f>DA121*SUMIFS(условия!$178:$178,условия!$8:$8,"&lt;="&amp;DA$9,условия!$9:$9,"&gt;="&amp;DA$9)</f>
        <v>159.29970766819207</v>
      </c>
      <c r="DB123" s="33">
        <f>DB121*SUMIFS(условия!$178:$178,условия!$8:$8,"&lt;="&amp;DB$9,условия!$9:$9,"&gt;="&amp;DB$9)</f>
        <v>159.29970766819207</v>
      </c>
      <c r="DC123" s="33">
        <f>DC121*SUMIFS(условия!$178:$178,условия!$8:$8,"&lt;="&amp;DC$9,условия!$9:$9,"&gt;="&amp;DC$9)</f>
        <v>159.29970766819207</v>
      </c>
      <c r="DD123" s="33">
        <f>DD121*SUMIFS(условия!$178:$178,условия!$8:$8,"&lt;="&amp;DD$9,условия!$9:$9,"&gt;="&amp;DD$9)</f>
        <v>159.29970766819207</v>
      </c>
      <c r="DE123" s="33">
        <f>DE121*SUMIFS(условия!$178:$178,условия!$8:$8,"&lt;="&amp;DE$9,условия!$9:$9,"&gt;="&amp;DE$9)</f>
        <v>159.29970766819207</v>
      </c>
      <c r="DF123" s="33">
        <f>DF121*SUMIFS(условия!$178:$178,условия!$8:$8,"&lt;="&amp;DF$9,условия!$9:$9,"&gt;="&amp;DF$9)</f>
        <v>159.29970766819207</v>
      </c>
      <c r="DG123" s="33">
        <f>DG121*SUMIFS(условия!$178:$178,условия!$8:$8,"&lt;="&amp;DG$9,условия!$9:$9,"&gt;="&amp;DG$9)</f>
        <v>159.29970766819207</v>
      </c>
      <c r="DH123" s="33">
        <f>DH121*SUMIFS(условия!$178:$178,условия!$8:$8,"&lt;="&amp;DH$9,условия!$9:$9,"&gt;="&amp;DH$9)</f>
        <v>159.29970766819207</v>
      </c>
      <c r="DI123" s="33">
        <f>DI121*SUMIFS(условия!$178:$178,условия!$8:$8,"&lt;="&amp;DI$9,условия!$9:$9,"&gt;="&amp;DI$9)</f>
        <v>159.29970766819207</v>
      </c>
      <c r="DJ123" s="33">
        <f>DJ121*SUMIFS(условия!$178:$178,условия!$8:$8,"&lt;="&amp;DJ$9,условия!$9:$9,"&gt;="&amp;DJ$9)</f>
        <v>216.4071500398081</v>
      </c>
      <c r="DK123" s="33">
        <f>DK121*SUMIFS(условия!$178:$178,условия!$8:$8,"&lt;="&amp;DK$9,условия!$9:$9,"&gt;="&amp;DK$9)</f>
        <v>216.4071500398081</v>
      </c>
      <c r="DL123" s="33">
        <f>DL121*SUMIFS(условия!$178:$178,условия!$8:$8,"&lt;="&amp;DL$9,условия!$9:$9,"&gt;="&amp;DL$9)</f>
        <v>222.89936454100234</v>
      </c>
      <c r="DM123" s="33">
        <f>DM121*SUMIFS(условия!$178:$178,условия!$8:$8,"&lt;="&amp;DM$9,условия!$9:$9,"&gt;="&amp;DM$9)</f>
        <v>222.89936454100234</v>
      </c>
      <c r="DN123" s="33">
        <f>DN121*SUMIFS(условия!$178:$178,условия!$8:$8,"&lt;="&amp;DN$9,условия!$9:$9,"&gt;="&amp;DN$9)</f>
        <v>222.89936454100234</v>
      </c>
      <c r="DO123" s="33">
        <f>DO121*SUMIFS(условия!$178:$178,условия!$8:$8,"&lt;="&amp;DO$9,условия!$9:$9,"&gt;="&amp;DO$9)</f>
        <v>222.89936454100234</v>
      </c>
      <c r="DP123" s="33">
        <f>DP121*SUMIFS(условия!$178:$178,условия!$8:$8,"&lt;="&amp;DP$9,условия!$9:$9,"&gt;="&amp;DP$9)</f>
        <v>222.89936454100234</v>
      </c>
      <c r="DQ123" s="33">
        <f>DQ121*SUMIFS(условия!$178:$178,условия!$8:$8,"&lt;="&amp;DQ$9,условия!$9:$9,"&gt;="&amp;DQ$9)</f>
        <v>222.89936454100234</v>
      </c>
      <c r="DR123" s="33">
        <f>DR121*SUMIFS(условия!$178:$178,условия!$8:$8,"&lt;="&amp;DR$9,условия!$9:$9,"&gt;="&amp;DR$9)</f>
        <v>222.89936454100234</v>
      </c>
      <c r="DS123" s="33">
        <f>DS121*SUMIFS(условия!$178:$178,условия!$8:$8,"&lt;="&amp;DS$9,условия!$9:$9,"&gt;="&amp;DS$9)</f>
        <v>222.89936454100234</v>
      </c>
      <c r="DT123" s="33">
        <f>DT121*SUMIFS(условия!$178:$178,условия!$8:$8,"&lt;="&amp;DT$9,условия!$9:$9,"&gt;="&amp;DT$9)</f>
        <v>222.89936454100234</v>
      </c>
      <c r="DU123" s="33">
        <f>DU121*SUMIFS(условия!$178:$178,условия!$8:$8,"&lt;="&amp;DU$9,условия!$9:$9,"&gt;="&amp;DU$9)</f>
        <v>222.89936454100234</v>
      </c>
      <c r="DV123" s="33">
        <f>DV121*SUMIFS(условия!$178:$178,условия!$8:$8,"&lt;="&amp;DV$9,условия!$9:$9,"&gt;="&amp;DV$9)</f>
        <v>222.89936454100234</v>
      </c>
      <c r="DW123" s="33">
        <f>DW121*SUMIFS(условия!$178:$178,условия!$8:$8,"&lt;="&amp;DW$9,условия!$9:$9,"&gt;="&amp;DW$9)</f>
        <v>222.89936454100234</v>
      </c>
      <c r="DX123" s="33">
        <f>DX121*SUMIFS(условия!$178:$178,условия!$8:$8,"&lt;="&amp;DX$9,условия!$9:$9,"&gt;="&amp;DX$9)</f>
        <v>225.12835818641238</v>
      </c>
      <c r="DY123" s="33">
        <f>DY121*SUMIFS(условия!$178:$178,условия!$8:$8,"&lt;="&amp;DY$9,условия!$9:$9,"&gt;="&amp;DY$9)</f>
        <v>225.12835818641238</v>
      </c>
      <c r="DZ123" s="33">
        <f>DZ121*SUMIFS(условия!$178:$178,условия!$8:$8,"&lt;="&amp;DZ$9,условия!$9:$9,"&gt;="&amp;DZ$9)</f>
        <v>225.12835818641238</v>
      </c>
      <c r="EA123" s="33">
        <f>EA121*SUMIFS(условия!$178:$178,условия!$8:$8,"&lt;="&amp;EA$9,условия!$9:$9,"&gt;="&amp;EA$9)</f>
        <v>225.12835818641238</v>
      </c>
      <c r="EB123" s="33">
        <f>EB121*SUMIFS(условия!$178:$178,условия!$8:$8,"&lt;="&amp;EB$9,условия!$9:$9,"&gt;="&amp;EB$9)</f>
        <v>225.12835818641238</v>
      </c>
      <c r="EC123" s="33">
        <f>EC121*SUMIFS(условия!$178:$178,условия!$8:$8,"&lt;="&amp;EC$9,условия!$9:$9,"&gt;="&amp;EC$9)</f>
        <v>225.12835818641238</v>
      </c>
      <c r="ED123" s="33">
        <f>ED121*SUMIFS(условия!$178:$178,условия!$8:$8,"&lt;="&amp;ED$9,условия!$9:$9,"&gt;="&amp;ED$9)</f>
        <v>225.12835818641238</v>
      </c>
      <c r="EE123" s="33">
        <f>EE121*SUMIFS(условия!$178:$178,условия!$8:$8,"&lt;="&amp;EE$9,условия!$9:$9,"&gt;="&amp;EE$9)</f>
        <v>225.12835818641238</v>
      </c>
      <c r="EF123" s="33">
        <f>EF121*SUMIFS(условия!$178:$178,условия!$8:$8,"&lt;="&amp;EF$9,условия!$9:$9,"&gt;="&amp;EF$9)</f>
        <v>225.12835818641238</v>
      </c>
      <c r="EG123" s="33">
        <f>EG121*SUMIFS(условия!$178:$178,условия!$8:$8,"&lt;="&amp;EG$9,условия!$9:$9,"&gt;="&amp;EG$9)</f>
        <v>225.12835818641238</v>
      </c>
      <c r="EH123" s="33">
        <f>EH121*SUMIFS(условия!$178:$178,условия!$8:$8,"&lt;="&amp;EH$9,условия!$9:$9,"&gt;="&amp;EH$9)</f>
        <v>225.12835818641238</v>
      </c>
      <c r="EI123" s="33">
        <f>EI121*SUMIFS(условия!$178:$178,условия!$8:$8,"&lt;="&amp;EI$9,условия!$9:$9,"&gt;="&amp;EI$9)</f>
        <v>225.12835818641238</v>
      </c>
      <c r="EJ123" s="3"/>
      <c r="EK123" s="3"/>
    </row>
    <row r="124" spans="1:14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</row>
    <row r="125" spans="1:141" x14ac:dyDescent="0.25">
      <c r="A125" s="3"/>
      <c r="B125" s="3"/>
      <c r="C125" s="3"/>
      <c r="D125" s="3"/>
      <c r="E125" s="3"/>
      <c r="F125" s="10" t="str">
        <f>KPI!$F$138</f>
        <v>Незавершенные кап. вложения на конец периода</v>
      </c>
      <c r="G125" s="3"/>
      <c r="H125" s="3"/>
      <c r="I125" s="3"/>
      <c r="J125" s="5" t="str">
        <f>IF($F125="","",INDEX(KPI!$I$11:$I$275,SUMIFS(KPI!$E$11:$E$275,KPI!$F$11:$F$275,$F125)))</f>
        <v>тыс.руб.</v>
      </c>
      <c r="K125" s="3"/>
      <c r="L125" s="3"/>
      <c r="M125" s="3"/>
      <c r="N125" s="3"/>
      <c r="O125" s="3"/>
      <c r="P125" s="3"/>
      <c r="Q125" s="12"/>
      <c r="R125" s="3"/>
      <c r="S125" s="55"/>
      <c r="T125" s="33">
        <f>SUM($S$11:T11)-SUM($S$15:T15)+SUM($S$59:T59)-SUM($S$63:T63)</f>
        <v>0</v>
      </c>
      <c r="U125" s="33">
        <f>SUM($S$11:U11)-SUM($S$15:U15)+SUM($S$59:U59)-SUM($S$63:U63)</f>
        <v>17500</v>
      </c>
      <c r="V125" s="33">
        <f>SUM($S$11:V11)-SUM($S$15:V15)+SUM($S$59:V59)-SUM($S$63:V63)</f>
        <v>0</v>
      </c>
      <c r="W125" s="33">
        <f>SUM($S$11:W11)-SUM($S$15:W15)+SUM($S$59:W59)-SUM($S$63:W63)</f>
        <v>17500</v>
      </c>
      <c r="X125" s="33">
        <f>SUM($S$11:X11)-SUM($S$15:X15)+SUM($S$59:X59)-SUM($S$63:X63)</f>
        <v>0</v>
      </c>
      <c r="Y125" s="33">
        <f>SUM($S$11:Y11)-SUM($S$15:Y15)+SUM($S$59:Y59)-SUM($S$63:Y63)</f>
        <v>0</v>
      </c>
      <c r="Z125" s="33">
        <f>SUM($S$11:Z11)-SUM($S$15:Z15)+SUM($S$59:Z59)-SUM($S$63:Z63)</f>
        <v>0</v>
      </c>
      <c r="AA125" s="33">
        <f>SUM($S$11:AA11)-SUM($S$15:AA15)+SUM($S$59:AA59)-SUM($S$63:AA63)</f>
        <v>0</v>
      </c>
      <c r="AB125" s="33">
        <f>SUM($S$11:AB11)-SUM($S$15:AB15)+SUM($S$59:AB59)-SUM($S$63:AB63)</f>
        <v>0</v>
      </c>
      <c r="AC125" s="33">
        <f>SUM($S$11:AC11)-SUM($S$15:AC15)+SUM($S$59:AC59)-SUM($S$63:AC63)</f>
        <v>0</v>
      </c>
      <c r="AD125" s="33">
        <f>SUM($S$11:AD11)-SUM($S$15:AD15)+SUM($S$59:AD59)-SUM($S$63:AD63)</f>
        <v>0</v>
      </c>
      <c r="AE125" s="33">
        <f>SUM($S$11:AE11)-SUM($S$15:AE15)+SUM($S$59:AE59)-SUM($S$63:AE63)</f>
        <v>0</v>
      </c>
      <c r="AF125" s="33">
        <f>SUM($S$11:AF11)-SUM($S$15:AF15)+SUM($S$59:AF59)-SUM($S$63:AF63)</f>
        <v>0</v>
      </c>
      <c r="AG125" s="33">
        <f>SUM($S$11:AG11)-SUM($S$15:AG15)+SUM($S$59:AG59)-SUM($S$63:AG63)</f>
        <v>0</v>
      </c>
      <c r="AH125" s="33">
        <f>SUM($S$11:AH11)-SUM($S$15:AH15)+SUM($S$59:AH59)-SUM($S$63:AH63)</f>
        <v>0</v>
      </c>
      <c r="AI125" s="33">
        <f>SUM($S$11:AI11)-SUM($S$15:AI15)+SUM($S$59:AI59)-SUM($S$63:AI63)</f>
        <v>0</v>
      </c>
      <c r="AJ125" s="33">
        <f>SUM($S$11:AJ11)-SUM($S$15:AJ15)+SUM($S$59:AJ59)-SUM($S$63:AJ63)</f>
        <v>0</v>
      </c>
      <c r="AK125" s="33">
        <f>SUM($S$11:AK11)-SUM($S$15:AK15)+SUM($S$59:AK59)-SUM($S$63:AK63)</f>
        <v>0</v>
      </c>
      <c r="AL125" s="33">
        <f>SUM($S$11:AL11)-SUM($S$15:AL15)+SUM($S$59:AL59)-SUM($S$63:AL63)</f>
        <v>0</v>
      </c>
      <c r="AM125" s="33">
        <f>SUM($S$11:AM11)-SUM($S$15:AM15)+SUM($S$59:AM59)-SUM($S$63:AM63)</f>
        <v>0</v>
      </c>
      <c r="AN125" s="33">
        <f>SUM($S$11:AN11)-SUM($S$15:AN15)+SUM($S$59:AN59)-SUM($S$63:AN63)</f>
        <v>0</v>
      </c>
      <c r="AO125" s="33">
        <f>SUM($S$11:AO11)-SUM($S$15:AO15)+SUM($S$59:AO59)-SUM($S$63:AO63)</f>
        <v>0</v>
      </c>
      <c r="AP125" s="33">
        <f>SUM($S$11:AP11)-SUM($S$15:AP15)+SUM($S$59:AP59)-SUM($S$63:AP63)</f>
        <v>0</v>
      </c>
      <c r="AQ125" s="33">
        <f>SUM($S$11:AQ11)-SUM($S$15:AQ15)+SUM($S$59:AQ59)-SUM($S$63:AQ63)</f>
        <v>0</v>
      </c>
      <c r="AR125" s="33">
        <f>SUM($S$11:AR11)-SUM($S$15:AR15)+SUM($S$59:AR59)-SUM($S$63:AR63)</f>
        <v>0</v>
      </c>
      <c r="AS125" s="33">
        <f>SUM($S$11:AS11)-SUM($S$15:AS15)+SUM($S$59:AS59)-SUM($S$63:AS63)</f>
        <v>0</v>
      </c>
      <c r="AT125" s="33">
        <f>SUM($S$11:AT11)-SUM($S$15:AT15)+SUM($S$59:AT59)-SUM($S$63:AT63)</f>
        <v>0</v>
      </c>
      <c r="AU125" s="33">
        <f>SUM($S$11:AU11)-SUM($S$15:AU15)+SUM($S$59:AU59)-SUM($S$63:AU63)</f>
        <v>0</v>
      </c>
      <c r="AV125" s="33">
        <f>SUM($S$11:AV11)-SUM($S$15:AV15)+SUM($S$59:AV59)-SUM($S$63:AV63)</f>
        <v>0</v>
      </c>
      <c r="AW125" s="33">
        <f>SUM($S$11:AW11)-SUM($S$15:AW15)+SUM($S$59:AW59)-SUM($S$63:AW63)</f>
        <v>0</v>
      </c>
      <c r="AX125" s="33">
        <f>SUM($S$11:AX11)-SUM($S$15:AX15)+SUM($S$59:AX59)-SUM($S$63:AX63)</f>
        <v>0</v>
      </c>
      <c r="AY125" s="33">
        <f>SUM($S$11:AY11)-SUM($S$15:AY15)+SUM($S$59:AY59)-SUM($S$63:AY63)</f>
        <v>0</v>
      </c>
      <c r="AZ125" s="33">
        <f>SUM($S$11:AZ11)-SUM($S$15:AZ15)+SUM($S$59:AZ59)-SUM($S$63:AZ63)</f>
        <v>0</v>
      </c>
      <c r="BA125" s="33">
        <f>SUM($S$11:BA11)-SUM($S$15:BA15)+SUM($S$59:BA59)-SUM($S$63:BA63)</f>
        <v>0</v>
      </c>
      <c r="BB125" s="33">
        <f>SUM($S$11:BB11)-SUM($S$15:BB15)+SUM($S$59:BB59)-SUM($S$63:BB63)</f>
        <v>0</v>
      </c>
      <c r="BC125" s="33">
        <f>SUM($S$11:BC11)-SUM($S$15:BC15)+SUM($S$59:BC59)-SUM($S$63:BC63)</f>
        <v>0</v>
      </c>
      <c r="BD125" s="33">
        <f>SUM($S$11:BD11)-SUM($S$15:BD15)+SUM($S$59:BD59)-SUM($S$63:BD63)</f>
        <v>0</v>
      </c>
      <c r="BE125" s="33">
        <f>SUM($S$11:BE11)-SUM($S$15:BE15)+SUM($S$59:BE59)-SUM($S$63:BE63)</f>
        <v>0</v>
      </c>
      <c r="BF125" s="33">
        <f>SUM($S$11:BF11)-SUM($S$15:BF15)+SUM($S$59:BF59)-SUM($S$63:BF63)</f>
        <v>0</v>
      </c>
      <c r="BG125" s="33">
        <f>SUM($S$11:BG11)-SUM($S$15:BG15)+SUM($S$59:BG59)-SUM($S$63:BG63)</f>
        <v>0</v>
      </c>
      <c r="BH125" s="33">
        <f>SUM($S$11:BH11)-SUM($S$15:BH15)+SUM($S$59:BH59)-SUM($S$63:BH63)</f>
        <v>0</v>
      </c>
      <c r="BI125" s="33">
        <f>SUM($S$11:BI11)-SUM($S$15:BI15)+SUM($S$59:BI59)-SUM($S$63:BI63)</f>
        <v>0</v>
      </c>
      <c r="BJ125" s="33">
        <f>SUM($S$11:BJ11)-SUM($S$15:BJ15)+SUM($S$59:BJ59)-SUM($S$63:BJ63)</f>
        <v>0</v>
      </c>
      <c r="BK125" s="33">
        <f>SUM($S$11:BK11)-SUM($S$15:BK15)+SUM($S$59:BK59)-SUM($S$63:BK63)</f>
        <v>0</v>
      </c>
      <c r="BL125" s="33">
        <f>SUM($S$11:BL11)-SUM($S$15:BL15)+SUM($S$59:BL59)-SUM($S$63:BL63)</f>
        <v>0</v>
      </c>
      <c r="BM125" s="33">
        <f>SUM($S$11:BM11)-SUM($S$15:BM15)+SUM($S$59:BM59)-SUM($S$63:BM63)</f>
        <v>0</v>
      </c>
      <c r="BN125" s="33">
        <f>SUM($S$11:BN11)-SUM($S$15:BN15)+SUM($S$59:BN59)-SUM($S$63:BN63)</f>
        <v>0</v>
      </c>
      <c r="BO125" s="33">
        <f>SUM($S$11:BO11)-SUM($S$15:BO15)+SUM($S$59:BO59)-SUM($S$63:BO63)</f>
        <v>0</v>
      </c>
      <c r="BP125" s="33">
        <f>SUM($S$11:BP11)-SUM($S$15:BP15)+SUM($S$59:BP59)-SUM($S$63:BP63)</f>
        <v>0</v>
      </c>
      <c r="BQ125" s="33">
        <f>SUM($S$11:BQ11)-SUM($S$15:BQ15)+SUM($S$59:BQ59)-SUM($S$63:BQ63)</f>
        <v>0</v>
      </c>
      <c r="BR125" s="33">
        <f>SUM($S$11:BR11)-SUM($S$15:BR15)+SUM($S$59:BR59)-SUM($S$63:BR63)</f>
        <v>0</v>
      </c>
      <c r="BS125" s="33">
        <f>SUM($S$11:BS11)-SUM($S$15:BS15)+SUM($S$59:BS59)-SUM($S$63:BS63)</f>
        <v>0</v>
      </c>
      <c r="BT125" s="33">
        <f>SUM($S$11:BT11)-SUM($S$15:BT15)+SUM($S$59:BT59)-SUM($S$63:BT63)</f>
        <v>0</v>
      </c>
      <c r="BU125" s="33">
        <f>SUM($S$11:BU11)-SUM($S$15:BU15)+SUM($S$59:BU59)-SUM($S$63:BU63)</f>
        <v>0</v>
      </c>
      <c r="BV125" s="33">
        <f>SUM($S$11:BV11)-SUM($S$15:BV15)+SUM($S$59:BV59)-SUM($S$63:BV63)</f>
        <v>15907.183355000005</v>
      </c>
      <c r="BW125" s="33">
        <f>SUM($S$11:BW11)-SUM($S$15:BW15)+SUM($S$59:BW59)-SUM($S$63:BW63)</f>
        <v>0</v>
      </c>
      <c r="BX125" s="33">
        <f>SUM($S$11:BX11)-SUM($S$15:BX15)+SUM($S$59:BX59)-SUM($S$63:BX63)</f>
        <v>15907.183355000008</v>
      </c>
      <c r="BY125" s="33">
        <f>SUM($S$11:BY11)-SUM($S$15:BY15)+SUM($S$59:BY59)-SUM($S$63:BY63)</f>
        <v>0</v>
      </c>
      <c r="BZ125" s="33">
        <f>SUM($S$11:BZ11)-SUM($S$15:BZ15)+SUM($S$59:BZ59)-SUM($S$63:BZ63)</f>
        <v>0</v>
      </c>
      <c r="CA125" s="33">
        <f>SUM($S$11:CA11)-SUM($S$15:CA15)+SUM($S$59:CA59)-SUM($S$63:CA63)</f>
        <v>0</v>
      </c>
      <c r="CB125" s="33">
        <f>SUM($S$11:CB11)-SUM($S$15:CB15)+SUM($S$59:CB59)-SUM($S$63:CB63)</f>
        <v>0</v>
      </c>
      <c r="CC125" s="33">
        <f>SUM($S$11:CC11)-SUM($S$15:CC15)+SUM($S$59:CC59)-SUM($S$63:CC63)</f>
        <v>0</v>
      </c>
      <c r="CD125" s="33">
        <f>SUM($S$11:CD11)-SUM($S$15:CD15)+SUM($S$59:CD59)-SUM($S$63:CD63)</f>
        <v>0</v>
      </c>
      <c r="CE125" s="33">
        <f>SUM($S$11:CE11)-SUM($S$15:CE15)+SUM($S$59:CE59)-SUM($S$63:CE63)</f>
        <v>0</v>
      </c>
      <c r="CF125" s="33">
        <f>SUM($S$11:CF11)-SUM($S$15:CF15)+SUM($S$59:CF59)-SUM($S$63:CF63)</f>
        <v>0</v>
      </c>
      <c r="CG125" s="33">
        <f>SUM($S$11:CG11)-SUM($S$15:CG15)+SUM($S$59:CG59)-SUM($S$63:CG63)</f>
        <v>0</v>
      </c>
      <c r="CH125" s="33">
        <f>SUM($S$11:CH11)-SUM($S$15:CH15)+SUM($S$59:CH59)-SUM($S$63:CH63)</f>
        <v>0</v>
      </c>
      <c r="CI125" s="33">
        <f>SUM($S$11:CI11)-SUM($S$15:CI15)+SUM($S$59:CI59)-SUM($S$63:CI63)</f>
        <v>0</v>
      </c>
      <c r="CJ125" s="33">
        <f>SUM($S$11:CJ11)-SUM($S$15:CJ15)+SUM($S$59:CJ59)-SUM($S$63:CJ63)</f>
        <v>0</v>
      </c>
      <c r="CK125" s="33">
        <f>SUM($S$11:CK11)-SUM($S$15:CK15)+SUM($S$59:CK59)-SUM($S$63:CK63)</f>
        <v>0</v>
      </c>
      <c r="CL125" s="33">
        <f>SUM($S$11:CL11)-SUM($S$15:CL15)+SUM($S$59:CL59)-SUM($S$63:CL63)</f>
        <v>0</v>
      </c>
      <c r="CM125" s="33">
        <f>SUM($S$11:CM11)-SUM($S$15:CM15)+SUM($S$59:CM59)-SUM($S$63:CM63)</f>
        <v>0</v>
      </c>
      <c r="CN125" s="33">
        <f>SUM($S$11:CN11)-SUM($S$15:CN15)+SUM($S$59:CN59)-SUM($S$63:CN63)</f>
        <v>0</v>
      </c>
      <c r="CO125" s="33">
        <f>SUM($S$11:CO11)-SUM($S$15:CO15)+SUM($S$59:CO59)-SUM($S$63:CO63)</f>
        <v>0</v>
      </c>
      <c r="CP125" s="33">
        <f>SUM($S$11:CP11)-SUM($S$15:CP15)+SUM($S$59:CP59)-SUM($S$63:CP63)</f>
        <v>0</v>
      </c>
      <c r="CQ125" s="33">
        <f>SUM($S$11:CQ11)-SUM($S$15:CQ15)+SUM($S$59:CQ59)-SUM($S$63:CQ63)</f>
        <v>0</v>
      </c>
      <c r="CR125" s="33">
        <f>SUM($S$11:CR11)-SUM($S$15:CR15)+SUM($S$59:CR59)-SUM($S$63:CR63)</f>
        <v>0</v>
      </c>
      <c r="CS125" s="33">
        <f>SUM($S$11:CS11)-SUM($S$15:CS15)+SUM($S$59:CS59)-SUM($S$63:CS63)</f>
        <v>0</v>
      </c>
      <c r="CT125" s="33">
        <f>SUM($S$11:CT11)-SUM($S$15:CT15)+SUM($S$59:CT59)-SUM($S$63:CT63)</f>
        <v>0</v>
      </c>
      <c r="CU125" s="33">
        <f>SUM($S$11:CU11)-SUM($S$15:CU15)+SUM($S$59:CU59)-SUM($S$63:CU63)</f>
        <v>0</v>
      </c>
      <c r="CV125" s="33">
        <f>SUM($S$11:CV11)-SUM($S$15:CV15)+SUM($S$59:CV59)-SUM($S$63:CV63)</f>
        <v>0</v>
      </c>
      <c r="CW125" s="33">
        <f>SUM($S$11:CW11)-SUM($S$15:CW15)+SUM($S$59:CW59)-SUM($S$63:CW63)</f>
        <v>0</v>
      </c>
      <c r="CX125" s="33">
        <f>SUM($S$11:CX11)-SUM($S$15:CX15)+SUM($S$59:CX59)-SUM($S$63:CX63)</f>
        <v>0</v>
      </c>
      <c r="CY125" s="33">
        <f>SUM($S$11:CY11)-SUM($S$15:CY15)+SUM($S$59:CY59)-SUM($S$63:CY63)</f>
        <v>0</v>
      </c>
      <c r="CZ125" s="33">
        <f>SUM($S$11:CZ11)-SUM($S$15:CZ15)+SUM($S$59:CZ59)-SUM($S$63:CZ63)</f>
        <v>0</v>
      </c>
      <c r="DA125" s="33">
        <f>SUM($S$11:DA11)-SUM($S$15:DA15)+SUM($S$59:DA59)-SUM($S$63:DA63)</f>
        <v>0</v>
      </c>
      <c r="DB125" s="33">
        <f>SUM($S$11:DB11)-SUM($S$15:DB15)+SUM($S$59:DB59)-SUM($S$63:DB63)</f>
        <v>0</v>
      </c>
      <c r="DC125" s="33">
        <f>SUM($S$11:DC11)-SUM($S$15:DC15)+SUM($S$59:DC59)-SUM($S$63:DC63)</f>
        <v>0</v>
      </c>
      <c r="DD125" s="33">
        <f>SUM($S$11:DD11)-SUM($S$15:DD15)+SUM($S$59:DD59)-SUM($S$63:DD63)</f>
        <v>0</v>
      </c>
      <c r="DE125" s="33">
        <f>SUM($S$11:DE11)-SUM($S$15:DE15)+SUM($S$59:DE59)-SUM($S$63:DE63)</f>
        <v>0</v>
      </c>
      <c r="DF125" s="33">
        <f>SUM($S$11:DF11)-SUM($S$15:DF15)+SUM($S$59:DF59)-SUM($S$63:DF63)</f>
        <v>0</v>
      </c>
      <c r="DG125" s="33">
        <f>SUM($S$11:DG11)-SUM($S$15:DG15)+SUM($S$59:DG59)-SUM($S$63:DG63)</f>
        <v>18766.976778561904</v>
      </c>
      <c r="DH125" s="33">
        <f>SUM($S$11:DH11)-SUM($S$15:DH15)+SUM($S$59:DH59)-SUM($S$63:DH63)</f>
        <v>0</v>
      </c>
      <c r="DI125" s="33">
        <f>SUM($S$11:DI11)-SUM($S$15:DI15)+SUM($S$59:DI59)-SUM($S$63:DI63)</f>
        <v>18766.97677856189</v>
      </c>
      <c r="DJ125" s="33">
        <f>SUM($S$11:DJ11)-SUM($S$15:DJ15)+SUM($S$59:DJ59)-SUM($S$63:DJ63)</f>
        <v>0</v>
      </c>
      <c r="DK125" s="33">
        <f>SUM($S$11:DK11)-SUM($S$15:DK15)+SUM($S$59:DK59)-SUM($S$63:DK63)</f>
        <v>0</v>
      </c>
      <c r="DL125" s="33">
        <f>SUM($S$11:DL11)-SUM($S$15:DL15)+SUM($S$59:DL59)-SUM($S$63:DL63)</f>
        <v>0</v>
      </c>
      <c r="DM125" s="33">
        <f>SUM($S$11:DM11)-SUM($S$15:DM15)+SUM($S$59:DM59)-SUM($S$63:DM63)</f>
        <v>0</v>
      </c>
      <c r="DN125" s="33">
        <f>SUM($S$11:DN11)-SUM($S$15:DN15)+SUM($S$59:DN59)-SUM($S$63:DN63)</f>
        <v>0</v>
      </c>
      <c r="DO125" s="33">
        <f>SUM($S$11:DO11)-SUM($S$15:DO15)+SUM($S$59:DO59)-SUM($S$63:DO63)</f>
        <v>0</v>
      </c>
      <c r="DP125" s="33">
        <f>SUM($S$11:DP11)-SUM($S$15:DP15)+SUM($S$59:DP59)-SUM($S$63:DP63)</f>
        <v>0</v>
      </c>
      <c r="DQ125" s="33">
        <f>SUM($S$11:DQ11)-SUM($S$15:DQ15)+SUM($S$59:DQ59)-SUM($S$63:DQ63)</f>
        <v>0</v>
      </c>
      <c r="DR125" s="33">
        <f>SUM($S$11:DR11)-SUM($S$15:DR15)+SUM($S$59:DR59)-SUM($S$63:DR63)</f>
        <v>0</v>
      </c>
      <c r="DS125" s="33">
        <f>SUM($S$11:DS11)-SUM($S$15:DS15)+SUM($S$59:DS59)-SUM($S$63:DS63)</f>
        <v>0</v>
      </c>
      <c r="DT125" s="33">
        <f>SUM($S$11:DT11)-SUM($S$15:DT15)+SUM($S$59:DT59)-SUM($S$63:DT63)</f>
        <v>0</v>
      </c>
      <c r="DU125" s="33">
        <f>SUM($S$11:DU11)-SUM($S$15:DU15)+SUM($S$59:DU59)-SUM($S$63:DU63)</f>
        <v>0</v>
      </c>
      <c r="DV125" s="33">
        <f>SUM($S$11:DV11)-SUM($S$15:DV15)+SUM($S$59:DV59)-SUM($S$63:DV63)</f>
        <v>0</v>
      </c>
      <c r="DW125" s="33">
        <f>SUM($S$11:DW11)-SUM($S$15:DW15)+SUM($S$59:DW59)-SUM($S$63:DW63)</f>
        <v>0</v>
      </c>
      <c r="DX125" s="33">
        <f>SUM($S$11:DX11)-SUM($S$15:DX15)+SUM($S$59:DX59)-SUM($S$63:DX63)</f>
        <v>0</v>
      </c>
      <c r="DY125" s="33">
        <f>SUM($S$11:DY11)-SUM($S$15:DY15)+SUM($S$59:DY59)-SUM($S$63:DY63)</f>
        <v>0</v>
      </c>
      <c r="DZ125" s="33">
        <f>SUM($S$11:DZ11)-SUM($S$15:DZ15)+SUM($S$59:DZ59)-SUM($S$63:DZ63)</f>
        <v>0</v>
      </c>
      <c r="EA125" s="33">
        <f>SUM($S$11:EA11)-SUM($S$15:EA15)+SUM($S$59:EA59)-SUM($S$63:EA63)</f>
        <v>0</v>
      </c>
      <c r="EB125" s="33">
        <f>SUM($S$11:EB11)-SUM($S$15:EB15)+SUM($S$59:EB59)-SUM($S$63:EB63)</f>
        <v>0</v>
      </c>
      <c r="EC125" s="33">
        <f>SUM($S$11:EC11)-SUM($S$15:EC15)+SUM($S$59:EC59)-SUM($S$63:EC63)</f>
        <v>0</v>
      </c>
      <c r="ED125" s="33">
        <f>SUM($S$11:ED11)-SUM($S$15:ED15)+SUM($S$59:ED59)-SUM($S$63:ED63)</f>
        <v>0</v>
      </c>
      <c r="EE125" s="33">
        <f>SUM($S$11:EE11)-SUM($S$15:EE15)+SUM($S$59:EE59)-SUM($S$63:EE63)</f>
        <v>0</v>
      </c>
      <c r="EF125" s="33">
        <f>SUM($S$11:EF11)-SUM($S$15:EF15)+SUM($S$59:EF59)-SUM($S$63:EF63)</f>
        <v>0</v>
      </c>
      <c r="EG125" s="33">
        <f>SUM($S$11:EG11)-SUM($S$15:EG15)+SUM($S$59:EG59)-SUM($S$63:EG63)</f>
        <v>0</v>
      </c>
      <c r="EH125" s="33">
        <f>SUM($S$11:EH11)-SUM($S$15:EH15)+SUM($S$59:EH59)-SUM($S$63:EH63)</f>
        <v>0</v>
      </c>
      <c r="EI125" s="33">
        <f>SUM($S$11:EI11)-SUM($S$15:EI15)+SUM($S$59:EI59)-SUM($S$63:EI63)</f>
        <v>0</v>
      </c>
      <c r="EJ125" s="3"/>
      <c r="EK125" s="3"/>
    </row>
    <row r="126" spans="1:14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</row>
    <row r="127" spans="1:141" x14ac:dyDescent="0.25">
      <c r="A127" s="3"/>
      <c r="B127" s="3"/>
      <c r="C127" s="3"/>
      <c r="D127" s="3"/>
      <c r="E127" s="3"/>
      <c r="F127" s="10" t="str">
        <f>KPI!$F$139</f>
        <v>Основные средства на конец периода</v>
      </c>
      <c r="G127" s="3"/>
      <c r="H127" s="3"/>
      <c r="I127" s="3"/>
      <c r="J127" s="5" t="str">
        <f>IF($F127="","",INDEX(KPI!$I$11:$I$275,SUMIFS(KPI!$E$11:$E$275,KPI!$F$11:$F$275,$F127)))</f>
        <v>тыс.руб.</v>
      </c>
      <c r="K127" s="3"/>
      <c r="L127" s="3"/>
      <c r="M127" s="3"/>
      <c r="N127" s="3"/>
      <c r="O127" s="3"/>
      <c r="P127" s="3"/>
      <c r="Q127" s="12"/>
      <c r="R127" s="3"/>
      <c r="S127" s="55"/>
      <c r="T127" s="33">
        <f>SUM($S$15:T15)+SUM($S$63:T63)</f>
        <v>0</v>
      </c>
      <c r="U127" s="33">
        <f>SUM($S$15:U15)+SUM($S$63:U63)</f>
        <v>0</v>
      </c>
      <c r="V127" s="33">
        <f>SUM($S$15:V15)+SUM($S$63:V63)</f>
        <v>35000</v>
      </c>
      <c r="W127" s="33">
        <f>SUM($S$15:W15)+SUM($S$63:W63)</f>
        <v>35000</v>
      </c>
      <c r="X127" s="33">
        <f>SUM($S$15:X15)+SUM($S$63:X63)</f>
        <v>70000</v>
      </c>
      <c r="Y127" s="33">
        <f>SUM($S$15:Y15)+SUM($S$63:Y63)</f>
        <v>70000</v>
      </c>
      <c r="Z127" s="33">
        <f>SUM($S$15:Z15)+SUM($S$63:Z63)</f>
        <v>70000</v>
      </c>
      <c r="AA127" s="33">
        <f>SUM($S$15:AA15)+SUM($S$63:AA63)</f>
        <v>70000</v>
      </c>
      <c r="AB127" s="33">
        <f>SUM($S$15:AB15)+SUM($S$63:AB63)</f>
        <v>70000</v>
      </c>
      <c r="AC127" s="33">
        <f>SUM($S$15:AC15)+SUM($S$63:AC63)</f>
        <v>70000</v>
      </c>
      <c r="AD127" s="33">
        <f>SUM($S$15:AD15)+SUM($S$63:AD63)</f>
        <v>70000</v>
      </c>
      <c r="AE127" s="33">
        <f>SUM($S$15:AE15)+SUM($S$63:AE63)</f>
        <v>70000</v>
      </c>
      <c r="AF127" s="33">
        <f>SUM($S$15:AF15)+SUM($S$63:AF63)</f>
        <v>70000</v>
      </c>
      <c r="AG127" s="33">
        <f>SUM($S$15:AG15)+SUM($S$63:AG63)</f>
        <v>70000</v>
      </c>
      <c r="AH127" s="33">
        <f>SUM($S$15:AH15)+SUM($S$63:AH63)</f>
        <v>70000</v>
      </c>
      <c r="AI127" s="33">
        <f>SUM($S$15:AI15)+SUM($S$63:AI63)</f>
        <v>70000</v>
      </c>
      <c r="AJ127" s="33">
        <f>SUM($S$15:AJ15)+SUM($S$63:AJ63)</f>
        <v>70000</v>
      </c>
      <c r="AK127" s="33">
        <f>SUM($S$15:AK15)+SUM($S$63:AK63)</f>
        <v>70000</v>
      </c>
      <c r="AL127" s="33">
        <f>SUM($S$15:AL15)+SUM($S$63:AL63)</f>
        <v>70000</v>
      </c>
      <c r="AM127" s="33">
        <f>SUM($S$15:AM15)+SUM($S$63:AM63)</f>
        <v>70000</v>
      </c>
      <c r="AN127" s="33">
        <f>SUM($S$15:AN15)+SUM($S$63:AN63)</f>
        <v>70000</v>
      </c>
      <c r="AO127" s="33">
        <f>SUM($S$15:AO15)+SUM($S$63:AO63)</f>
        <v>70000</v>
      </c>
      <c r="AP127" s="33">
        <f>SUM($S$15:AP15)+SUM($S$63:AP63)</f>
        <v>70000</v>
      </c>
      <c r="AQ127" s="33">
        <f>SUM($S$15:AQ15)+SUM($S$63:AQ63)</f>
        <v>70000</v>
      </c>
      <c r="AR127" s="33">
        <f>SUM($S$15:AR15)+SUM($S$63:AR63)</f>
        <v>70000</v>
      </c>
      <c r="AS127" s="33">
        <f>SUM($S$15:AS15)+SUM($S$63:AS63)</f>
        <v>70000</v>
      </c>
      <c r="AT127" s="33">
        <f>SUM($S$15:AT15)+SUM($S$63:AT63)</f>
        <v>70000</v>
      </c>
      <c r="AU127" s="33">
        <f>SUM($S$15:AU15)+SUM($S$63:AU63)</f>
        <v>70000</v>
      </c>
      <c r="AV127" s="33">
        <f>SUM($S$15:AV15)+SUM($S$63:AV63)</f>
        <v>70000</v>
      </c>
      <c r="AW127" s="33">
        <f>SUM($S$15:AW15)+SUM($S$63:AW63)</f>
        <v>70000</v>
      </c>
      <c r="AX127" s="33">
        <f>SUM($S$15:AX15)+SUM($S$63:AX63)</f>
        <v>70000</v>
      </c>
      <c r="AY127" s="33">
        <f>SUM($S$15:AY15)+SUM($S$63:AY63)</f>
        <v>70000</v>
      </c>
      <c r="AZ127" s="33">
        <f>SUM($S$15:AZ15)+SUM($S$63:AZ63)</f>
        <v>70000</v>
      </c>
      <c r="BA127" s="33">
        <f>SUM($S$15:BA15)+SUM($S$63:BA63)</f>
        <v>70000</v>
      </c>
      <c r="BB127" s="33">
        <f>SUM($S$15:BB15)+SUM($S$63:BB63)</f>
        <v>70000</v>
      </c>
      <c r="BC127" s="33">
        <f>SUM($S$15:BC15)+SUM($S$63:BC63)</f>
        <v>70000</v>
      </c>
      <c r="BD127" s="33">
        <f>SUM($S$15:BD15)+SUM($S$63:BD63)</f>
        <v>70000</v>
      </c>
      <c r="BE127" s="33">
        <f>SUM($S$15:BE15)+SUM($S$63:BE63)</f>
        <v>70000</v>
      </c>
      <c r="BF127" s="33">
        <f>SUM($S$15:BF15)+SUM($S$63:BF63)</f>
        <v>70000</v>
      </c>
      <c r="BG127" s="33">
        <f>SUM($S$15:BG15)+SUM($S$63:BG63)</f>
        <v>70000</v>
      </c>
      <c r="BH127" s="33">
        <f>SUM($S$15:BH15)+SUM($S$63:BH63)</f>
        <v>70000</v>
      </c>
      <c r="BI127" s="33">
        <f>SUM($S$15:BI15)+SUM($S$63:BI63)</f>
        <v>70000</v>
      </c>
      <c r="BJ127" s="33">
        <f>SUM($S$15:BJ15)+SUM($S$63:BJ63)</f>
        <v>70000</v>
      </c>
      <c r="BK127" s="33">
        <f>SUM($S$15:BK15)+SUM($S$63:BK63)</f>
        <v>70000</v>
      </c>
      <c r="BL127" s="33">
        <f>SUM($S$15:BL15)+SUM($S$63:BL63)</f>
        <v>70000</v>
      </c>
      <c r="BM127" s="33">
        <f>SUM($S$15:BM15)+SUM($S$63:BM63)</f>
        <v>70000</v>
      </c>
      <c r="BN127" s="33">
        <f>SUM($S$15:BN15)+SUM($S$63:BN63)</f>
        <v>70000</v>
      </c>
      <c r="BO127" s="33">
        <f>SUM($S$15:BO15)+SUM($S$63:BO63)</f>
        <v>70000</v>
      </c>
      <c r="BP127" s="33">
        <f>SUM($S$15:BP15)+SUM($S$63:BP63)</f>
        <v>70000</v>
      </c>
      <c r="BQ127" s="33">
        <f>SUM($S$15:BQ15)+SUM($S$63:BQ63)</f>
        <v>70000</v>
      </c>
      <c r="BR127" s="33">
        <f>SUM($S$15:BR15)+SUM($S$63:BR63)</f>
        <v>70000</v>
      </c>
      <c r="BS127" s="33">
        <f>SUM($S$15:BS15)+SUM($S$63:BS63)</f>
        <v>70000</v>
      </c>
      <c r="BT127" s="33">
        <f>SUM($S$15:BT15)+SUM($S$63:BT63)</f>
        <v>70000</v>
      </c>
      <c r="BU127" s="33">
        <f>SUM($S$15:BU15)+SUM($S$63:BU63)</f>
        <v>70000</v>
      </c>
      <c r="BV127" s="33">
        <f>SUM($S$15:BV15)+SUM($S$63:BV63)</f>
        <v>70000</v>
      </c>
      <c r="BW127" s="33">
        <f>SUM($S$15:BW15)+SUM($S$63:BW63)</f>
        <v>101814.36671</v>
      </c>
      <c r="BX127" s="33">
        <f>SUM($S$15:BX15)+SUM($S$63:BX63)</f>
        <v>101814.36671</v>
      </c>
      <c r="BY127" s="33">
        <f>SUM($S$15:BY15)+SUM($S$63:BY63)</f>
        <v>133628.73342</v>
      </c>
      <c r="BZ127" s="33">
        <f>SUM($S$15:BZ15)+SUM($S$63:BZ63)</f>
        <v>133628.73342</v>
      </c>
      <c r="CA127" s="33">
        <f>SUM($S$15:CA15)+SUM($S$63:CA63)</f>
        <v>133628.73342</v>
      </c>
      <c r="CB127" s="33">
        <f>SUM($S$15:CB15)+SUM($S$63:CB63)</f>
        <v>133628.73342</v>
      </c>
      <c r="CC127" s="33">
        <f>SUM($S$15:CC15)+SUM($S$63:CC63)</f>
        <v>133628.73342</v>
      </c>
      <c r="CD127" s="33">
        <f>SUM($S$15:CD15)+SUM($S$63:CD63)</f>
        <v>133628.73342</v>
      </c>
      <c r="CE127" s="33">
        <f>SUM($S$15:CE15)+SUM($S$63:CE63)</f>
        <v>133628.73342</v>
      </c>
      <c r="CF127" s="33">
        <f>SUM($S$15:CF15)+SUM($S$63:CF63)</f>
        <v>133628.73342</v>
      </c>
      <c r="CG127" s="33">
        <f>SUM($S$15:CG15)+SUM($S$63:CG63)</f>
        <v>133628.73342</v>
      </c>
      <c r="CH127" s="33">
        <f>SUM($S$15:CH15)+SUM($S$63:CH63)</f>
        <v>133628.73342</v>
      </c>
      <c r="CI127" s="33">
        <f>SUM($S$15:CI15)+SUM($S$63:CI63)</f>
        <v>133628.73342</v>
      </c>
      <c r="CJ127" s="33">
        <f>SUM($S$15:CJ15)+SUM($S$63:CJ63)</f>
        <v>133628.73342</v>
      </c>
      <c r="CK127" s="33">
        <f>SUM($S$15:CK15)+SUM($S$63:CK63)</f>
        <v>133628.73342</v>
      </c>
      <c r="CL127" s="33">
        <f>SUM($S$15:CL15)+SUM($S$63:CL63)</f>
        <v>133628.73342</v>
      </c>
      <c r="CM127" s="33">
        <f>SUM($S$15:CM15)+SUM($S$63:CM63)</f>
        <v>133628.73342</v>
      </c>
      <c r="CN127" s="33">
        <f>SUM($S$15:CN15)+SUM($S$63:CN63)</f>
        <v>133628.73342</v>
      </c>
      <c r="CO127" s="33">
        <f>SUM($S$15:CO15)+SUM($S$63:CO63)</f>
        <v>133628.73342</v>
      </c>
      <c r="CP127" s="33">
        <f>SUM($S$15:CP15)+SUM($S$63:CP63)</f>
        <v>133628.73342</v>
      </c>
      <c r="CQ127" s="33">
        <f>SUM($S$15:CQ15)+SUM($S$63:CQ63)</f>
        <v>133628.73342</v>
      </c>
      <c r="CR127" s="33">
        <f>SUM($S$15:CR15)+SUM($S$63:CR63)</f>
        <v>133628.73342</v>
      </c>
      <c r="CS127" s="33">
        <f>SUM($S$15:CS15)+SUM($S$63:CS63)</f>
        <v>133628.73342</v>
      </c>
      <c r="CT127" s="33">
        <f>SUM($S$15:CT15)+SUM($S$63:CT63)</f>
        <v>133628.73342</v>
      </c>
      <c r="CU127" s="33">
        <f>SUM($S$15:CU15)+SUM($S$63:CU63)</f>
        <v>133628.73342</v>
      </c>
      <c r="CV127" s="33">
        <f>SUM($S$15:CV15)+SUM($S$63:CV63)</f>
        <v>133628.73342</v>
      </c>
      <c r="CW127" s="33">
        <f>SUM($S$15:CW15)+SUM($S$63:CW63)</f>
        <v>133628.73342</v>
      </c>
      <c r="CX127" s="33">
        <f>SUM($S$15:CX15)+SUM($S$63:CX63)</f>
        <v>133628.73342</v>
      </c>
      <c r="CY127" s="33">
        <f>SUM($S$15:CY15)+SUM($S$63:CY63)</f>
        <v>133628.73342</v>
      </c>
      <c r="CZ127" s="33">
        <f>SUM($S$15:CZ15)+SUM($S$63:CZ63)</f>
        <v>133628.73342</v>
      </c>
      <c r="DA127" s="33">
        <f>SUM($S$15:DA15)+SUM($S$63:DA63)</f>
        <v>133628.73342</v>
      </c>
      <c r="DB127" s="33">
        <f>SUM($S$15:DB15)+SUM($S$63:DB63)</f>
        <v>133628.73342</v>
      </c>
      <c r="DC127" s="33">
        <f>SUM($S$15:DC15)+SUM($S$63:DC63)</f>
        <v>133628.73342</v>
      </c>
      <c r="DD127" s="33">
        <f>SUM($S$15:DD15)+SUM($S$63:DD63)</f>
        <v>133628.73342</v>
      </c>
      <c r="DE127" s="33">
        <f>SUM($S$15:DE15)+SUM($S$63:DE63)</f>
        <v>133628.73342</v>
      </c>
      <c r="DF127" s="33">
        <f>SUM($S$15:DF15)+SUM($S$63:DF63)</f>
        <v>133628.73342</v>
      </c>
      <c r="DG127" s="33">
        <f>SUM($S$15:DG15)+SUM($S$63:DG63)</f>
        <v>133628.73342</v>
      </c>
      <c r="DH127" s="33">
        <f>SUM($S$15:DH15)+SUM($S$63:DH63)</f>
        <v>171162.68697712384</v>
      </c>
      <c r="DI127" s="33">
        <f>SUM($S$15:DI15)+SUM($S$63:DI63)</f>
        <v>171162.68697712384</v>
      </c>
      <c r="DJ127" s="33">
        <f>SUM($S$15:DJ15)+SUM($S$63:DJ63)</f>
        <v>208696.64053424765</v>
      </c>
      <c r="DK127" s="33">
        <f>SUM($S$15:DK15)+SUM($S$63:DK63)</f>
        <v>208696.64053424765</v>
      </c>
      <c r="DL127" s="33">
        <f>SUM($S$15:DL15)+SUM($S$63:DL63)</f>
        <v>208696.64053424765</v>
      </c>
      <c r="DM127" s="33">
        <f>SUM($S$15:DM15)+SUM($S$63:DM63)</f>
        <v>208696.64053424765</v>
      </c>
      <c r="DN127" s="33">
        <f>SUM($S$15:DN15)+SUM($S$63:DN63)</f>
        <v>208696.64053424765</v>
      </c>
      <c r="DO127" s="33">
        <f>SUM($S$15:DO15)+SUM($S$63:DO63)</f>
        <v>208696.64053424765</v>
      </c>
      <c r="DP127" s="33">
        <f>SUM($S$15:DP15)+SUM($S$63:DP63)</f>
        <v>208696.64053424765</v>
      </c>
      <c r="DQ127" s="33">
        <f>SUM($S$15:DQ15)+SUM($S$63:DQ63)</f>
        <v>208696.64053424765</v>
      </c>
      <c r="DR127" s="33">
        <f>SUM($S$15:DR15)+SUM($S$63:DR63)</f>
        <v>208696.64053424765</v>
      </c>
      <c r="DS127" s="33">
        <f>SUM($S$15:DS15)+SUM($S$63:DS63)</f>
        <v>208696.64053424765</v>
      </c>
      <c r="DT127" s="33">
        <f>SUM($S$15:DT15)+SUM($S$63:DT63)</f>
        <v>208696.64053424765</v>
      </c>
      <c r="DU127" s="33">
        <f>SUM($S$15:DU15)+SUM($S$63:DU63)</f>
        <v>208696.64053424765</v>
      </c>
      <c r="DV127" s="33">
        <f>SUM($S$15:DV15)+SUM($S$63:DV63)</f>
        <v>208696.64053424765</v>
      </c>
      <c r="DW127" s="33">
        <f>SUM($S$15:DW15)+SUM($S$63:DW63)</f>
        <v>208696.64053424765</v>
      </c>
      <c r="DX127" s="33">
        <f>SUM($S$15:DX15)+SUM($S$63:DX63)</f>
        <v>208696.64053424765</v>
      </c>
      <c r="DY127" s="33">
        <f>SUM($S$15:DY15)+SUM($S$63:DY63)</f>
        <v>208696.64053424765</v>
      </c>
      <c r="DZ127" s="33">
        <f>SUM($S$15:DZ15)+SUM($S$63:DZ63)</f>
        <v>208696.64053424765</v>
      </c>
      <c r="EA127" s="33">
        <f>SUM($S$15:EA15)+SUM($S$63:EA63)</f>
        <v>208696.64053424765</v>
      </c>
      <c r="EB127" s="33">
        <f>SUM($S$15:EB15)+SUM($S$63:EB63)</f>
        <v>208696.64053424765</v>
      </c>
      <c r="EC127" s="33">
        <f>SUM($S$15:EC15)+SUM($S$63:EC63)</f>
        <v>208696.64053424765</v>
      </c>
      <c r="ED127" s="33">
        <f>SUM($S$15:ED15)+SUM($S$63:ED63)</f>
        <v>208696.64053424765</v>
      </c>
      <c r="EE127" s="33">
        <f>SUM($S$15:EE15)+SUM($S$63:EE63)</f>
        <v>208696.64053424765</v>
      </c>
      <c r="EF127" s="33">
        <f>SUM($S$15:EF15)+SUM($S$63:EF63)</f>
        <v>208696.64053424765</v>
      </c>
      <c r="EG127" s="33">
        <f>SUM($S$15:EG15)+SUM($S$63:EG63)</f>
        <v>208696.64053424765</v>
      </c>
      <c r="EH127" s="33">
        <f>SUM($S$15:EH15)+SUM($S$63:EH63)</f>
        <v>208696.64053424765</v>
      </c>
      <c r="EI127" s="33">
        <f>SUM($S$15:EI15)+SUM($S$63:EI63)</f>
        <v>208696.64053424765</v>
      </c>
      <c r="EJ127" s="3"/>
      <c r="EK127" s="3"/>
    </row>
    <row r="128" spans="1:14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</row>
    <row r="129" spans="1:141" x14ac:dyDescent="0.25">
      <c r="A129" s="3"/>
      <c r="B129" s="3"/>
      <c r="C129" s="3"/>
      <c r="D129" s="3"/>
      <c r="E129" s="3"/>
      <c r="F129" s="10" t="str">
        <f>KPI!$F$140</f>
        <v>Амортизация на конец периода</v>
      </c>
      <c r="G129" s="3"/>
      <c r="H129" s="3"/>
      <c r="I129" s="3"/>
      <c r="J129" s="5" t="str">
        <f>IF($F129="","",INDEX(KPI!$I$11:$I$275,SUMIFS(KPI!$E$11:$E$275,KPI!$F$11:$F$275,$F129)))</f>
        <v>тыс.руб.</v>
      </c>
      <c r="K129" s="3"/>
      <c r="L129" s="3"/>
      <c r="M129" s="3"/>
      <c r="N129" s="3"/>
      <c r="O129" s="3"/>
      <c r="P129" s="3"/>
      <c r="Q129" s="12"/>
      <c r="R129" s="3"/>
      <c r="S129" s="55"/>
      <c r="T129" s="33">
        <f>SUM($S$19:T19)+SUM($S$67:T67)</f>
        <v>0</v>
      </c>
      <c r="U129" s="33">
        <f>SUM($S$19:U19)+SUM($S$67:U67)</f>
        <v>0</v>
      </c>
      <c r="V129" s="33">
        <f>SUM($S$19:V19)+SUM($S$67:V67)</f>
        <v>291.66666666666669</v>
      </c>
      <c r="W129" s="33">
        <f>SUM($S$19:W19)+SUM($S$67:W67)</f>
        <v>583.33333333333337</v>
      </c>
      <c r="X129" s="33">
        <f>SUM($S$19:X19)+SUM($S$67:X67)</f>
        <v>1166.6666666666667</v>
      </c>
      <c r="Y129" s="33">
        <f>SUM($S$19:Y19)+SUM($S$67:Y67)</f>
        <v>1750</v>
      </c>
      <c r="Z129" s="33">
        <f>SUM($S$19:Z19)+SUM($S$67:Z67)</f>
        <v>2333.3333333333335</v>
      </c>
      <c r="AA129" s="33">
        <f>SUM($S$19:AA19)+SUM($S$67:AA67)</f>
        <v>2916.666666666667</v>
      </c>
      <c r="AB129" s="33">
        <f>SUM($S$19:AB19)+SUM($S$67:AB67)</f>
        <v>3500.0000000000005</v>
      </c>
      <c r="AC129" s="33">
        <f>SUM($S$19:AC19)+SUM($S$67:AC67)</f>
        <v>4083.3333333333339</v>
      </c>
      <c r="AD129" s="33">
        <f>SUM($S$19:AD19)+SUM($S$67:AD67)</f>
        <v>4666.666666666667</v>
      </c>
      <c r="AE129" s="33">
        <f>SUM($S$19:AE19)+SUM($S$67:AE67)</f>
        <v>5250</v>
      </c>
      <c r="AF129" s="33">
        <f>SUM($S$19:AF19)+SUM($S$67:AF67)</f>
        <v>5833.333333333333</v>
      </c>
      <c r="AG129" s="33">
        <f>SUM($S$19:AG19)+SUM($S$67:AG67)</f>
        <v>6416.6666666666661</v>
      </c>
      <c r="AH129" s="33">
        <f>SUM($S$19:AH19)+SUM($S$67:AH67)</f>
        <v>6999.9999999999991</v>
      </c>
      <c r="AI129" s="33">
        <f>SUM($S$19:AI19)+SUM($S$67:AI67)</f>
        <v>7583.3333333333321</v>
      </c>
      <c r="AJ129" s="33">
        <f>SUM($S$19:AJ19)+SUM($S$67:AJ67)</f>
        <v>8166.6666666666652</v>
      </c>
      <c r="AK129" s="33">
        <f>SUM($S$19:AK19)+SUM($S$67:AK67)</f>
        <v>8749.9999999999982</v>
      </c>
      <c r="AL129" s="33">
        <f>SUM($S$19:AL19)+SUM($S$67:AL67)</f>
        <v>9333.3333333333321</v>
      </c>
      <c r="AM129" s="33">
        <f>SUM($S$19:AM19)+SUM($S$67:AM67)</f>
        <v>9916.6666666666661</v>
      </c>
      <c r="AN129" s="33">
        <f>SUM($S$19:AN19)+SUM($S$67:AN67)</f>
        <v>10500</v>
      </c>
      <c r="AO129" s="33">
        <f>SUM($S$19:AO19)+SUM($S$67:AO67)</f>
        <v>11083.333333333334</v>
      </c>
      <c r="AP129" s="33">
        <f>SUM($S$19:AP19)+SUM($S$67:AP67)</f>
        <v>11666.666666666668</v>
      </c>
      <c r="AQ129" s="33">
        <f>SUM($S$19:AQ19)+SUM($S$67:AQ67)</f>
        <v>12250.000000000002</v>
      </c>
      <c r="AR129" s="33">
        <f>SUM($S$19:AR19)+SUM($S$67:AR67)</f>
        <v>12833.333333333336</v>
      </c>
      <c r="AS129" s="33">
        <f>SUM($S$19:AS19)+SUM($S$67:AS67)</f>
        <v>13416.66666666667</v>
      </c>
      <c r="AT129" s="33">
        <f>SUM($S$19:AT19)+SUM($S$67:AT67)</f>
        <v>14000.000000000004</v>
      </c>
      <c r="AU129" s="33">
        <f>SUM($S$19:AU19)+SUM($S$67:AU67)</f>
        <v>14583.333333333338</v>
      </c>
      <c r="AV129" s="33">
        <f>SUM($S$19:AV19)+SUM($S$67:AV67)</f>
        <v>15166.666666666672</v>
      </c>
      <c r="AW129" s="33">
        <f>SUM($S$19:AW19)+SUM($S$67:AW67)</f>
        <v>15750.000000000005</v>
      </c>
      <c r="AX129" s="33">
        <f>SUM($S$19:AX19)+SUM($S$67:AX67)</f>
        <v>16333.333333333339</v>
      </c>
      <c r="AY129" s="33">
        <f>SUM($S$19:AY19)+SUM($S$67:AY67)</f>
        <v>16916.666666666672</v>
      </c>
      <c r="AZ129" s="33">
        <f>SUM($S$19:AZ19)+SUM($S$67:AZ67)</f>
        <v>17500.000000000004</v>
      </c>
      <c r="BA129" s="33">
        <f>SUM($S$19:BA19)+SUM($S$67:BA67)</f>
        <v>18083.333333333336</v>
      </c>
      <c r="BB129" s="33">
        <f>SUM($S$19:BB19)+SUM($S$67:BB67)</f>
        <v>18666.666666666668</v>
      </c>
      <c r="BC129" s="33">
        <f>SUM($S$19:BC19)+SUM($S$67:BC67)</f>
        <v>19250</v>
      </c>
      <c r="BD129" s="33">
        <f>SUM($S$19:BD19)+SUM($S$67:BD67)</f>
        <v>19833.333333333332</v>
      </c>
      <c r="BE129" s="33">
        <f>SUM($S$19:BE19)+SUM($S$67:BE67)</f>
        <v>20416.666666666664</v>
      </c>
      <c r="BF129" s="33">
        <f>SUM($S$19:BF19)+SUM($S$67:BF67)</f>
        <v>20999.999999999996</v>
      </c>
      <c r="BG129" s="33">
        <f>SUM($S$19:BG19)+SUM($S$67:BG67)</f>
        <v>21583.333333333328</v>
      </c>
      <c r="BH129" s="33">
        <f>SUM($S$19:BH19)+SUM($S$67:BH67)</f>
        <v>22166.666666666661</v>
      </c>
      <c r="BI129" s="33">
        <f>SUM($S$19:BI19)+SUM($S$67:BI67)</f>
        <v>22749.999999999993</v>
      </c>
      <c r="BJ129" s="33">
        <f>SUM($S$19:BJ19)+SUM($S$67:BJ67)</f>
        <v>23333.333333333325</v>
      </c>
      <c r="BK129" s="33">
        <f>SUM($S$19:BK19)+SUM($S$67:BK67)</f>
        <v>23916.666666666657</v>
      </c>
      <c r="BL129" s="33">
        <f>SUM($S$19:BL19)+SUM($S$67:BL67)</f>
        <v>24499.999999999989</v>
      </c>
      <c r="BM129" s="33">
        <f>SUM($S$19:BM19)+SUM($S$67:BM67)</f>
        <v>25083.333333333321</v>
      </c>
      <c r="BN129" s="33">
        <f>SUM($S$19:BN19)+SUM($S$67:BN67)</f>
        <v>25666.666666666653</v>
      </c>
      <c r="BO129" s="33">
        <f>SUM($S$19:BO19)+SUM($S$67:BO67)</f>
        <v>26249.999999999985</v>
      </c>
      <c r="BP129" s="33">
        <f>SUM($S$19:BP19)+SUM($S$67:BP67)</f>
        <v>26833.333333333318</v>
      </c>
      <c r="BQ129" s="33">
        <f>SUM($S$19:BQ19)+SUM($S$67:BQ67)</f>
        <v>27416.66666666665</v>
      </c>
      <c r="BR129" s="33">
        <f>SUM($S$19:BR19)+SUM($S$67:BR67)</f>
        <v>27999.999999999982</v>
      </c>
      <c r="BS129" s="33">
        <f>SUM($S$19:BS19)+SUM($S$67:BS67)</f>
        <v>28583.333333333314</v>
      </c>
      <c r="BT129" s="33">
        <f>SUM($S$19:BT19)+SUM($S$67:BT67)</f>
        <v>29166.666666666646</v>
      </c>
      <c r="BU129" s="33">
        <f>SUM($S$19:BU19)+SUM($S$67:BU67)</f>
        <v>29749.999999999978</v>
      </c>
      <c r="BV129" s="33">
        <f>SUM($S$19:BV19)+SUM($S$67:BV67)</f>
        <v>30333.33333333331</v>
      </c>
      <c r="BW129" s="33">
        <f>SUM($S$19:BW19)+SUM($S$67:BW67)</f>
        <v>31181.786389249977</v>
      </c>
      <c r="BX129" s="33">
        <f>SUM($S$19:BX19)+SUM($S$67:BX67)</f>
        <v>32030.239445166641</v>
      </c>
      <c r="BY129" s="33">
        <f>SUM($S$19:BY19)+SUM($S$67:BY67)</f>
        <v>33143.812223666639</v>
      </c>
      <c r="BZ129" s="33">
        <f>SUM($S$19:BZ19)+SUM($S$67:BZ67)</f>
        <v>34257.385002166637</v>
      </c>
      <c r="CA129" s="33">
        <f>SUM($S$19:CA19)+SUM($S$67:CA67)</f>
        <v>35370.957780666635</v>
      </c>
      <c r="CB129" s="33">
        <f>SUM($S$19:CB19)+SUM($S$67:CB67)</f>
        <v>36484.53055916664</v>
      </c>
      <c r="CC129" s="33">
        <f>SUM($S$19:CC19)+SUM($S$67:CC67)</f>
        <v>37598.103337666646</v>
      </c>
      <c r="CD129" s="33">
        <f>SUM($S$19:CD19)+SUM($S$67:CD67)</f>
        <v>38711.676116166644</v>
      </c>
      <c r="CE129" s="33">
        <f>SUM($S$19:CE19)+SUM($S$67:CE67)</f>
        <v>39825.248894666649</v>
      </c>
      <c r="CF129" s="33">
        <f>SUM($S$19:CF19)+SUM($S$67:CF67)</f>
        <v>40938.821673166654</v>
      </c>
      <c r="CG129" s="33">
        <f>SUM($S$19:CG19)+SUM($S$67:CG67)</f>
        <v>42052.394451666652</v>
      </c>
      <c r="CH129" s="33">
        <f>SUM($S$19:CH19)+SUM($S$67:CH67)</f>
        <v>43165.967230166658</v>
      </c>
      <c r="CI129" s="33">
        <f>SUM($S$19:CI19)+SUM($S$67:CI67)</f>
        <v>44279.540008666663</v>
      </c>
      <c r="CJ129" s="33">
        <f>SUM($S$19:CJ19)+SUM($S$67:CJ67)</f>
        <v>45393.112787166661</v>
      </c>
      <c r="CK129" s="33">
        <f>SUM($S$19:CK19)+SUM($S$67:CK67)</f>
        <v>46506.685565666667</v>
      </c>
      <c r="CL129" s="33">
        <f>SUM($S$19:CL19)+SUM($S$67:CL67)</f>
        <v>47620.258344166665</v>
      </c>
      <c r="CM129" s="33">
        <f>SUM($S$19:CM19)+SUM($S$67:CM67)</f>
        <v>48733.83112266667</v>
      </c>
      <c r="CN129" s="33">
        <f>SUM($S$19:CN19)+SUM($S$67:CN67)</f>
        <v>49847.403901166675</v>
      </c>
      <c r="CO129" s="33">
        <f>SUM($S$19:CO19)+SUM($S$67:CO67)</f>
        <v>50960.976679666674</v>
      </c>
      <c r="CP129" s="33">
        <f>SUM($S$19:CP19)+SUM($S$67:CP67)</f>
        <v>52074.549458166672</v>
      </c>
      <c r="CQ129" s="33">
        <f>SUM($S$19:CQ19)+SUM($S$67:CQ67)</f>
        <v>53188.122236666677</v>
      </c>
      <c r="CR129" s="33">
        <f>SUM($S$19:CR19)+SUM($S$67:CR67)</f>
        <v>54301.695015166682</v>
      </c>
      <c r="CS129" s="33">
        <f>SUM($S$19:CS19)+SUM($S$67:CS67)</f>
        <v>55415.267793666681</v>
      </c>
      <c r="CT129" s="33">
        <f>SUM($S$19:CT19)+SUM($S$67:CT67)</f>
        <v>56528.840572166679</v>
      </c>
      <c r="CU129" s="33">
        <f>SUM($S$19:CU19)+SUM($S$67:CU67)</f>
        <v>57642.413350666684</v>
      </c>
      <c r="CV129" s="33">
        <f>SUM($S$19:CV19)+SUM($S$67:CV67)</f>
        <v>58755.986129166689</v>
      </c>
      <c r="CW129" s="33">
        <f>SUM($S$19:CW19)+SUM($S$67:CW67)</f>
        <v>59869.558907666687</v>
      </c>
      <c r="CX129" s="33">
        <f>SUM($S$19:CX19)+SUM($S$67:CX67)</f>
        <v>60983.131686166686</v>
      </c>
      <c r="CY129" s="33">
        <f>SUM($S$19:CY19)+SUM($S$67:CY67)</f>
        <v>62096.704464666691</v>
      </c>
      <c r="CZ129" s="33">
        <f>SUM($S$19:CZ19)+SUM($S$67:CZ67)</f>
        <v>63210.277243166696</v>
      </c>
      <c r="DA129" s="33">
        <f>SUM($S$19:DA19)+SUM($S$67:DA67)</f>
        <v>64323.850021666694</v>
      </c>
      <c r="DB129" s="33">
        <f>SUM($S$19:DB19)+SUM($S$67:DB67)</f>
        <v>65437.422800166692</v>
      </c>
      <c r="DC129" s="33">
        <f>SUM($S$19:DC19)+SUM($S$67:DC67)</f>
        <v>66550.995578666698</v>
      </c>
      <c r="DD129" s="33">
        <f>SUM($S$19:DD19)+SUM($S$67:DD67)</f>
        <v>67664.568357166703</v>
      </c>
      <c r="DE129" s="33">
        <f>SUM($S$19:DE19)+SUM($S$67:DE67)</f>
        <v>68778.141135666694</v>
      </c>
      <c r="DF129" s="33">
        <f>SUM($S$19:DF19)+SUM($S$67:DF67)</f>
        <v>69891.713914166699</v>
      </c>
      <c r="DG129" s="33">
        <f>SUM($S$19:DG19)+SUM($S$67:DG67)</f>
        <v>71005.286692666705</v>
      </c>
      <c r="DH129" s="33">
        <f>SUM($S$19:DH19)+SUM($S$67:DH67)</f>
        <v>72431.642417476076</v>
      </c>
      <c r="DI129" s="33">
        <f>SUM($S$19:DI19)+SUM($S$67:DI67)</f>
        <v>73857.998142285447</v>
      </c>
      <c r="DJ129" s="33">
        <f>SUM($S$19:DJ19)+SUM($S$67:DJ67)</f>
        <v>75597.13681340417</v>
      </c>
      <c r="DK129" s="33">
        <f>SUM($S$19:DK19)+SUM($S$67:DK67)</f>
        <v>77336.275484522906</v>
      </c>
      <c r="DL129" s="33">
        <f>SUM($S$19:DL19)+SUM($S$67:DL67)</f>
        <v>79075.414155641643</v>
      </c>
      <c r="DM129" s="33">
        <f>SUM($S$19:DM19)+SUM($S$67:DM67)</f>
        <v>80814.552826760366</v>
      </c>
      <c r="DN129" s="33">
        <f>SUM($S$19:DN19)+SUM($S$67:DN67)</f>
        <v>82553.691497879103</v>
      </c>
      <c r="DO129" s="33">
        <f>SUM($S$19:DO19)+SUM($S$67:DO67)</f>
        <v>84292.83016899784</v>
      </c>
      <c r="DP129" s="33">
        <f>SUM($S$19:DP19)+SUM($S$67:DP67)</f>
        <v>86031.968840116577</v>
      </c>
      <c r="DQ129" s="33">
        <f>SUM($S$19:DQ19)+SUM($S$67:DQ67)</f>
        <v>87771.107511235314</v>
      </c>
      <c r="DR129" s="33">
        <f>SUM($S$19:DR19)+SUM($S$67:DR67)</f>
        <v>89510.246182354036</v>
      </c>
      <c r="DS129" s="33">
        <f>SUM($S$19:DS19)+SUM($S$67:DS67)</f>
        <v>91249.384853472773</v>
      </c>
      <c r="DT129" s="33">
        <f>SUM($S$19:DT19)+SUM($S$67:DT67)</f>
        <v>92988.523524591496</v>
      </c>
      <c r="DU129" s="33">
        <f>SUM($S$19:DU19)+SUM($S$67:DU67)</f>
        <v>94727.662195710232</v>
      </c>
      <c r="DV129" s="33">
        <f>SUM($S$19:DV19)+SUM($S$67:DV67)</f>
        <v>96466.800866828969</v>
      </c>
      <c r="DW129" s="33">
        <f>SUM($S$19:DW19)+SUM($S$67:DW67)</f>
        <v>98205.939537947692</v>
      </c>
      <c r="DX129" s="33">
        <f>SUM($S$19:DX19)+SUM($S$67:DX67)</f>
        <v>99945.078209066414</v>
      </c>
      <c r="DY129" s="33">
        <f>SUM($S$19:DY19)+SUM($S$67:DY67)</f>
        <v>101684.21688018515</v>
      </c>
      <c r="DZ129" s="33">
        <f>SUM($S$19:DZ19)+SUM($S$67:DZ67)</f>
        <v>103423.35555130389</v>
      </c>
      <c r="EA129" s="33">
        <f>SUM($S$19:EA19)+SUM($S$67:EA67)</f>
        <v>105162.49422242261</v>
      </c>
      <c r="EB129" s="33">
        <f>SUM($S$19:EB19)+SUM($S$67:EB67)</f>
        <v>106901.63289354133</v>
      </c>
      <c r="EC129" s="33">
        <f>SUM($S$19:EC19)+SUM($S$67:EC67)</f>
        <v>108640.77156466007</v>
      </c>
      <c r="ED129" s="33">
        <f>SUM($S$19:ED19)+SUM($S$67:ED67)</f>
        <v>110379.91023577881</v>
      </c>
      <c r="EE129" s="33">
        <f>SUM($S$19:EE19)+SUM($S$67:EE67)</f>
        <v>112119.04890689753</v>
      </c>
      <c r="EF129" s="33">
        <f>SUM($S$19:EF19)+SUM($S$67:EF67)</f>
        <v>113858.18757801625</v>
      </c>
      <c r="EG129" s="33">
        <f>SUM($S$19:EG19)+SUM($S$67:EG67)</f>
        <v>115597.32624913497</v>
      </c>
      <c r="EH129" s="33">
        <f>SUM($S$19:EH19)+SUM($S$67:EH67)</f>
        <v>117336.4649202537</v>
      </c>
      <c r="EI129" s="33">
        <f>SUM($S$19:EI19)+SUM($S$67:EI67)</f>
        <v>119075.60359137242</v>
      </c>
      <c r="EJ129" s="3"/>
      <c r="EK129" s="3"/>
    </row>
    <row r="130" spans="1:14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</row>
    <row r="131" spans="1:141" x14ac:dyDescent="0.25">
      <c r="A131" s="3"/>
      <c r="B131" s="3"/>
      <c r="C131" s="3"/>
      <c r="D131" s="3"/>
      <c r="E131" s="3"/>
      <c r="F131" s="10" t="str">
        <f>KPI!$F$141</f>
        <v>Внеоборотные активы на конец периода</v>
      </c>
      <c r="G131" s="3"/>
      <c r="H131" s="3"/>
      <c r="I131" s="3"/>
      <c r="J131" s="5" t="str">
        <f>IF($F131="","",INDEX(KPI!$I$11:$I$275,SUMIFS(KPI!$E$11:$E$275,KPI!$F$11:$F$275,$F131)))</f>
        <v>тыс.руб.</v>
      </c>
      <c r="K131" s="3"/>
      <c r="L131" s="3"/>
      <c r="M131" s="3"/>
      <c r="N131" s="3"/>
      <c r="O131" s="3"/>
      <c r="P131" s="3"/>
      <c r="Q131" s="12"/>
      <c r="R131" s="3"/>
      <c r="S131" s="55"/>
      <c r="T131" s="33">
        <f>T125+T127-T129</f>
        <v>0</v>
      </c>
      <c r="U131" s="33">
        <f t="shared" ref="U131:CF131" si="51">U125+U127-U129</f>
        <v>17500</v>
      </c>
      <c r="V131" s="33">
        <f>V125+V127-V129</f>
        <v>34708.333333333336</v>
      </c>
      <c r="W131" s="33">
        <f>W125+W127-W129</f>
        <v>51916.666666666664</v>
      </c>
      <c r="X131" s="33">
        <f t="shared" si="51"/>
        <v>68833.333333333328</v>
      </c>
      <c r="Y131" s="33">
        <f>Y125+Y127-Y129</f>
        <v>68250</v>
      </c>
      <c r="Z131" s="33">
        <f t="shared" si="51"/>
        <v>67666.666666666672</v>
      </c>
      <c r="AA131" s="33">
        <f t="shared" si="51"/>
        <v>67083.333333333328</v>
      </c>
      <c r="AB131" s="33">
        <f t="shared" si="51"/>
        <v>66500</v>
      </c>
      <c r="AC131" s="33">
        <f t="shared" si="51"/>
        <v>65916.666666666672</v>
      </c>
      <c r="AD131" s="33">
        <f t="shared" si="51"/>
        <v>65333.333333333336</v>
      </c>
      <c r="AE131" s="33">
        <f t="shared" si="51"/>
        <v>64750</v>
      </c>
      <c r="AF131" s="33">
        <f t="shared" si="51"/>
        <v>64166.666666666664</v>
      </c>
      <c r="AG131" s="33">
        <f t="shared" si="51"/>
        <v>63583.333333333336</v>
      </c>
      <c r="AH131" s="33">
        <f t="shared" si="51"/>
        <v>63000</v>
      </c>
      <c r="AI131" s="33">
        <f t="shared" si="51"/>
        <v>62416.666666666672</v>
      </c>
      <c r="AJ131" s="33">
        <f t="shared" si="51"/>
        <v>61833.333333333336</v>
      </c>
      <c r="AK131" s="33">
        <f t="shared" si="51"/>
        <v>61250</v>
      </c>
      <c r="AL131" s="33">
        <f t="shared" si="51"/>
        <v>60666.666666666672</v>
      </c>
      <c r="AM131" s="33">
        <f t="shared" si="51"/>
        <v>60083.333333333336</v>
      </c>
      <c r="AN131" s="33">
        <f t="shared" si="51"/>
        <v>59500</v>
      </c>
      <c r="AO131" s="33">
        <f t="shared" si="51"/>
        <v>58916.666666666664</v>
      </c>
      <c r="AP131" s="33">
        <f t="shared" si="51"/>
        <v>58333.333333333328</v>
      </c>
      <c r="AQ131" s="33">
        <f t="shared" si="51"/>
        <v>57750</v>
      </c>
      <c r="AR131" s="33">
        <f t="shared" si="51"/>
        <v>57166.666666666664</v>
      </c>
      <c r="AS131" s="33">
        <f t="shared" si="51"/>
        <v>56583.333333333328</v>
      </c>
      <c r="AT131" s="33">
        <f t="shared" si="51"/>
        <v>56000</v>
      </c>
      <c r="AU131" s="33">
        <f t="shared" si="51"/>
        <v>55416.666666666664</v>
      </c>
      <c r="AV131" s="33">
        <f t="shared" si="51"/>
        <v>54833.333333333328</v>
      </c>
      <c r="AW131" s="33">
        <f t="shared" si="51"/>
        <v>54249.999999999993</v>
      </c>
      <c r="AX131" s="33">
        <f t="shared" si="51"/>
        <v>53666.666666666657</v>
      </c>
      <c r="AY131" s="33">
        <f t="shared" si="51"/>
        <v>53083.333333333328</v>
      </c>
      <c r="AZ131" s="33">
        <f t="shared" si="51"/>
        <v>52500</v>
      </c>
      <c r="BA131" s="33">
        <f t="shared" si="51"/>
        <v>51916.666666666664</v>
      </c>
      <c r="BB131" s="33">
        <f t="shared" si="51"/>
        <v>51333.333333333328</v>
      </c>
      <c r="BC131" s="33">
        <f t="shared" si="51"/>
        <v>50750</v>
      </c>
      <c r="BD131" s="33">
        <f t="shared" si="51"/>
        <v>50166.666666666672</v>
      </c>
      <c r="BE131" s="33">
        <f t="shared" si="51"/>
        <v>49583.333333333336</v>
      </c>
      <c r="BF131" s="33">
        <f t="shared" si="51"/>
        <v>49000</v>
      </c>
      <c r="BG131" s="33">
        <f t="shared" si="51"/>
        <v>48416.666666666672</v>
      </c>
      <c r="BH131" s="33">
        <f t="shared" si="51"/>
        <v>47833.333333333343</v>
      </c>
      <c r="BI131" s="33">
        <f t="shared" si="51"/>
        <v>47250.000000000007</v>
      </c>
      <c r="BJ131" s="33">
        <f t="shared" si="51"/>
        <v>46666.666666666672</v>
      </c>
      <c r="BK131" s="33">
        <f t="shared" si="51"/>
        <v>46083.333333333343</v>
      </c>
      <c r="BL131" s="33">
        <f t="shared" si="51"/>
        <v>45500.000000000015</v>
      </c>
      <c r="BM131" s="33">
        <f t="shared" si="51"/>
        <v>44916.666666666679</v>
      </c>
      <c r="BN131" s="33">
        <f t="shared" si="51"/>
        <v>44333.333333333343</v>
      </c>
      <c r="BO131" s="33">
        <f t="shared" si="51"/>
        <v>43750.000000000015</v>
      </c>
      <c r="BP131" s="33">
        <f t="shared" si="51"/>
        <v>43166.666666666686</v>
      </c>
      <c r="BQ131" s="33">
        <f t="shared" si="51"/>
        <v>42583.33333333335</v>
      </c>
      <c r="BR131" s="33">
        <f t="shared" si="51"/>
        <v>42000.000000000015</v>
      </c>
      <c r="BS131" s="33">
        <f t="shared" si="51"/>
        <v>41416.666666666686</v>
      </c>
      <c r="BT131" s="33">
        <f t="shared" si="51"/>
        <v>40833.333333333358</v>
      </c>
      <c r="BU131" s="33">
        <f t="shared" si="51"/>
        <v>40250.000000000022</v>
      </c>
      <c r="BV131" s="33">
        <f t="shared" si="51"/>
        <v>55573.850021666687</v>
      </c>
      <c r="BW131" s="33">
        <f t="shared" si="51"/>
        <v>70632.580320750028</v>
      </c>
      <c r="BX131" s="33">
        <f t="shared" si="51"/>
        <v>85691.310619833384</v>
      </c>
      <c r="BY131" s="33">
        <f t="shared" si="51"/>
        <v>100484.92119633337</v>
      </c>
      <c r="BZ131" s="33">
        <f t="shared" si="51"/>
        <v>99371.34841783336</v>
      </c>
      <c r="CA131" s="33">
        <f t="shared" si="51"/>
        <v>98257.775639333369</v>
      </c>
      <c r="CB131" s="33">
        <f t="shared" si="51"/>
        <v>97144.202860833364</v>
      </c>
      <c r="CC131" s="33">
        <f t="shared" si="51"/>
        <v>96030.630082333359</v>
      </c>
      <c r="CD131" s="33">
        <f t="shared" si="51"/>
        <v>94917.057303833368</v>
      </c>
      <c r="CE131" s="33">
        <f t="shared" si="51"/>
        <v>93803.484525333362</v>
      </c>
      <c r="CF131" s="33">
        <f t="shared" si="51"/>
        <v>92689.911746833357</v>
      </c>
      <c r="CG131" s="33">
        <f t="shared" ref="CG131:EI131" si="52">CG125+CG127-CG129</f>
        <v>91576.338968333352</v>
      </c>
      <c r="CH131" s="33">
        <f t="shared" si="52"/>
        <v>90462.766189833346</v>
      </c>
      <c r="CI131" s="33">
        <f t="shared" si="52"/>
        <v>89349.193411333341</v>
      </c>
      <c r="CJ131" s="33">
        <f t="shared" si="52"/>
        <v>88235.620632833336</v>
      </c>
      <c r="CK131" s="33">
        <f t="shared" si="52"/>
        <v>87122.04785433333</v>
      </c>
      <c r="CL131" s="33">
        <f t="shared" si="52"/>
        <v>86008.475075833339</v>
      </c>
      <c r="CM131" s="33">
        <f t="shared" si="52"/>
        <v>84894.902297333334</v>
      </c>
      <c r="CN131" s="33">
        <f t="shared" si="52"/>
        <v>83781.329518833329</v>
      </c>
      <c r="CO131" s="33">
        <f t="shared" si="52"/>
        <v>82667.756740333338</v>
      </c>
      <c r="CP131" s="33">
        <f t="shared" si="52"/>
        <v>81554.183961833332</v>
      </c>
      <c r="CQ131" s="33">
        <f t="shared" si="52"/>
        <v>80440.611183333327</v>
      </c>
      <c r="CR131" s="33">
        <f t="shared" si="52"/>
        <v>79327.038404833322</v>
      </c>
      <c r="CS131" s="33">
        <f t="shared" si="52"/>
        <v>78213.465626333316</v>
      </c>
      <c r="CT131" s="33">
        <f t="shared" si="52"/>
        <v>77099.892847833326</v>
      </c>
      <c r="CU131" s="33">
        <f t="shared" si="52"/>
        <v>75986.32006933332</v>
      </c>
      <c r="CV131" s="33">
        <f t="shared" si="52"/>
        <v>74872.747290833315</v>
      </c>
      <c r="CW131" s="33">
        <f t="shared" si="52"/>
        <v>73759.174512333324</v>
      </c>
      <c r="CX131" s="33">
        <f t="shared" si="52"/>
        <v>72645.601733833319</v>
      </c>
      <c r="CY131" s="33">
        <f t="shared" si="52"/>
        <v>71532.028955333313</v>
      </c>
      <c r="CZ131" s="33">
        <f t="shared" si="52"/>
        <v>70418.456176833308</v>
      </c>
      <c r="DA131" s="33">
        <f t="shared" si="52"/>
        <v>69304.883398333302</v>
      </c>
      <c r="DB131" s="33">
        <f t="shared" si="52"/>
        <v>68191.310619833312</v>
      </c>
      <c r="DC131" s="33">
        <f t="shared" si="52"/>
        <v>67077.737841333306</v>
      </c>
      <c r="DD131" s="33">
        <f t="shared" si="52"/>
        <v>65964.165062833301</v>
      </c>
      <c r="DE131" s="33">
        <f t="shared" si="52"/>
        <v>64850.59228433331</v>
      </c>
      <c r="DF131" s="33">
        <f t="shared" si="52"/>
        <v>63737.019505833305</v>
      </c>
      <c r="DG131" s="33">
        <f t="shared" si="52"/>
        <v>81390.423505895189</v>
      </c>
      <c r="DH131" s="33">
        <f t="shared" si="52"/>
        <v>98731.044559647766</v>
      </c>
      <c r="DI131" s="33">
        <f t="shared" si="52"/>
        <v>116071.66561340028</v>
      </c>
      <c r="DJ131" s="33">
        <f t="shared" si="52"/>
        <v>133099.50372084347</v>
      </c>
      <c r="DK131" s="33">
        <f t="shared" si="52"/>
        <v>131360.36504972476</v>
      </c>
      <c r="DL131" s="33">
        <f t="shared" si="52"/>
        <v>129621.22637860601</v>
      </c>
      <c r="DM131" s="33">
        <f t="shared" si="52"/>
        <v>127882.08770748728</v>
      </c>
      <c r="DN131" s="33">
        <f t="shared" si="52"/>
        <v>126142.94903636855</v>
      </c>
      <c r="DO131" s="33">
        <f t="shared" si="52"/>
        <v>124403.81036524981</v>
      </c>
      <c r="DP131" s="33">
        <f t="shared" si="52"/>
        <v>122664.67169413107</v>
      </c>
      <c r="DQ131" s="33">
        <f t="shared" si="52"/>
        <v>120925.53302301234</v>
      </c>
      <c r="DR131" s="33">
        <f t="shared" si="52"/>
        <v>119186.39435189361</v>
      </c>
      <c r="DS131" s="33">
        <f t="shared" si="52"/>
        <v>117447.25568077488</v>
      </c>
      <c r="DT131" s="33">
        <f t="shared" si="52"/>
        <v>115708.11700965615</v>
      </c>
      <c r="DU131" s="33">
        <f t="shared" si="52"/>
        <v>113968.97833853742</v>
      </c>
      <c r="DV131" s="33">
        <f t="shared" si="52"/>
        <v>112229.83966741868</v>
      </c>
      <c r="DW131" s="33">
        <f t="shared" si="52"/>
        <v>110490.70099629996</v>
      </c>
      <c r="DX131" s="33">
        <f t="shared" si="52"/>
        <v>108751.56232518124</v>
      </c>
      <c r="DY131" s="33">
        <f t="shared" si="52"/>
        <v>107012.4236540625</v>
      </c>
      <c r="DZ131" s="33">
        <f t="shared" si="52"/>
        <v>105273.28498294376</v>
      </c>
      <c r="EA131" s="33">
        <f t="shared" si="52"/>
        <v>103534.14631182504</v>
      </c>
      <c r="EB131" s="33">
        <f t="shared" si="52"/>
        <v>101795.00764070632</v>
      </c>
      <c r="EC131" s="33">
        <f t="shared" si="52"/>
        <v>100055.86896958758</v>
      </c>
      <c r="ED131" s="33">
        <f t="shared" si="52"/>
        <v>98316.730298468843</v>
      </c>
      <c r="EE131" s="33">
        <f t="shared" si="52"/>
        <v>96577.591627350121</v>
      </c>
      <c r="EF131" s="33">
        <f t="shared" si="52"/>
        <v>94838.452956231398</v>
      </c>
      <c r="EG131" s="33">
        <f t="shared" si="52"/>
        <v>93099.314285112676</v>
      </c>
      <c r="EH131" s="33">
        <f t="shared" si="52"/>
        <v>91360.175613993953</v>
      </c>
      <c r="EI131" s="33">
        <f t="shared" si="52"/>
        <v>89621.036942875231</v>
      </c>
      <c r="EJ131" s="3"/>
      <c r="EK131" s="3"/>
    </row>
    <row r="132" spans="1:14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2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</row>
    <row r="133" spans="1:141" x14ac:dyDescent="0.25">
      <c r="A133" s="3"/>
      <c r="B133" s="3"/>
      <c r="C133" s="3"/>
      <c r="D133" s="3"/>
      <c r="E133" s="3"/>
      <c r="F133" s="10" t="str">
        <f>KPI!$F$144</f>
        <v>Кред. задолж-ть перед подрядчиками по кап. затратам на конец периода</v>
      </c>
      <c r="G133" s="3"/>
      <c r="H133" s="3"/>
      <c r="I133" s="3"/>
      <c r="J133" s="5" t="str">
        <f>IF($F133="","",INDEX(KPI!$I$11:$I$275,SUMIFS(KPI!$E$11:$E$275,KPI!$F$11:$F$275,$F133)))</f>
        <v>тыс.руб.</v>
      </c>
      <c r="K133" s="3"/>
      <c r="L133" s="3"/>
      <c r="M133" s="3"/>
      <c r="N133" s="3"/>
      <c r="O133" s="3"/>
      <c r="P133" s="3"/>
      <c r="Q133" s="12"/>
      <c r="R133" s="3"/>
      <c r="S133" s="55"/>
      <c r="T133" s="33">
        <f>IF(T$9="",0,IF(OR(T$9="",DAY(EOMONTH(T$9,0))=0),0,IF(((T$11+T$59)-((SUMIFS(условия!$192:$192,условия!$8:$8,"&lt;="&amp;T$9,условия!$9:$9,"&gt;="&amp;T$9)/DAY(EOMONTH(T$9,0)))*2*(T$11+T$59)-S133))&lt;0,S133+(T$11+T$59),IF((SUMIFS(условия!$192:$192,условия!$8:$8,"&lt;="&amp;T$9,условия!$9:$9,"&gt;="&amp;T$9)/DAY(EOMONTH(T$9,0)))*2*(T$11+T$59)-S133&lt;0,0,(SUMIFS(условия!$192:$192,условия!$8:$8,"&lt;="&amp;T$9,условия!$9:$9,"&gt;="&amp;T$9)/DAY(EOMONTH(T$9,0)))*2*(T$11+T$59)-S133))))</f>
        <v>0</v>
      </c>
      <c r="U133" s="33">
        <f>IF(U$9="",0,IF(OR(U$9="",DAY(EOMONTH(U$9,0))=0),0,IF(((U$11+U$59)-((SUMIFS(условия!$192:$192,условия!$8:$8,"&lt;="&amp;U$9,условия!$9:$9,"&gt;="&amp;U$9)/DAY(EOMONTH(U$9,0)))*2*(U$11+U$59)-T133))&lt;0,T133+(U$11+U$59),IF((SUMIFS(условия!$192:$192,условия!$8:$8,"&lt;="&amp;U$9,условия!$9:$9,"&gt;="&amp;U$9)/DAY(EOMONTH(U$9,0)))*2*(U$11+U$59)-T133&lt;0,0,(SUMIFS(условия!$192:$192,условия!$8:$8,"&lt;="&amp;U$9,условия!$9:$9,"&gt;="&amp;U$9)/DAY(EOMONTH(U$9,0)))*2*(U$11+U$59)-T133))))</f>
        <v>17500</v>
      </c>
      <c r="V133" s="33">
        <f>IF(V$9="",0,IF(OR(V$9="",DAY(EOMONTH(V$9,0))=0),0,IF(((V$11+V$59)-((SUMIFS(условия!$192:$192,условия!$8:$8,"&lt;="&amp;V$9,условия!$9:$9,"&gt;="&amp;V$9)/DAY(EOMONTH(V$9,0)))*2*(V$11+V$59)-U133))&lt;0,U133+(V$11+V$59),IF((SUMIFS(условия!$192:$192,условия!$8:$8,"&lt;="&amp;V$9,условия!$9:$9,"&gt;="&amp;V$9)/DAY(EOMONTH(V$9,0)))*2*(V$11+V$59)-U133&lt;0,0,(SUMIFS(условия!$192:$192,условия!$8:$8,"&lt;="&amp;V$9,условия!$9:$9,"&gt;="&amp;V$9)/DAY(EOMONTH(V$9,0)))*2*(V$11+V$59)-U133))))</f>
        <v>16370.967741935485</v>
      </c>
      <c r="W133" s="33">
        <f>IF(W$9="",0,IF(OR(W$9="",DAY(EOMONTH(W$9,0))=0),0,IF(((W$11+W$59)-((SUMIFS(условия!$192:$192,условия!$8:$8,"&lt;="&amp;W$9,условия!$9:$9,"&gt;="&amp;W$9)/DAY(EOMONTH(W$9,0)))*2*(W$11+W$59)-V133))&lt;0,V133+(W$11+W$59),IF((SUMIFS(условия!$192:$192,условия!$8:$8,"&lt;="&amp;W$9,условия!$9:$9,"&gt;="&amp;W$9)/DAY(EOMONTH(W$9,0)))*2*(W$11+W$59)-V133&lt;0,0,(SUMIFS(условия!$192:$192,условия!$8:$8,"&lt;="&amp;W$9,условия!$9:$9,"&gt;="&amp;W$9)/DAY(EOMONTH(W$9,0)))*2*(W$11+W$59)-V133))))</f>
        <v>33870.967741935485</v>
      </c>
      <c r="X133" s="33">
        <f>IF(X$9="",0,IF(OR(X$9="",DAY(EOMONTH(X$9,0))=0),0,IF(((X$11+X$59)-((SUMIFS(условия!$192:$192,условия!$8:$8,"&lt;="&amp;X$9,условия!$9:$9,"&gt;="&amp;X$9)/DAY(EOMONTH(X$9,0)))*2*(X$11+X$59)-W133))&lt;0,W133+(X$11+X$59),IF((SUMIFS(условия!$192:$192,условия!$8:$8,"&lt;="&amp;X$9,условия!$9:$9,"&gt;="&amp;X$9)/DAY(EOMONTH(X$9,0)))*2*(X$11+X$59)-W133&lt;0,0,(SUMIFS(условия!$192:$192,условия!$8:$8,"&lt;="&amp;X$9,условия!$9:$9,"&gt;="&amp;X$9)/DAY(EOMONTH(X$9,0)))*2*(X$11+X$59)-W133))))</f>
        <v>0</v>
      </c>
      <c r="Y133" s="33">
        <f>IF(Y$9="",0,IF(OR(Y$9="",DAY(EOMONTH(Y$9,0))=0),0,IF(((Y$11+Y$59)-((SUMIFS(условия!$192:$192,условия!$8:$8,"&lt;="&amp;Y$9,условия!$9:$9,"&gt;="&amp;Y$9)/DAY(EOMONTH(Y$9,0)))*2*(Y$11+Y$59)-X133))&lt;0,X133+(Y$11+Y$59),IF((SUMIFS(условия!$192:$192,условия!$8:$8,"&lt;="&amp;Y$9,условия!$9:$9,"&gt;="&amp;Y$9)/DAY(EOMONTH(Y$9,0)))*2*(Y$11+Y$59)-X133&lt;0,0,(SUMIFS(условия!$192:$192,условия!$8:$8,"&lt;="&amp;Y$9,условия!$9:$9,"&gt;="&amp;Y$9)/DAY(EOMONTH(Y$9,0)))*2*(Y$11+Y$59)-X133))))</f>
        <v>0</v>
      </c>
      <c r="Z133" s="33">
        <f>IF(Z$9="",0,IF(OR(Z$9="",DAY(EOMONTH(Z$9,0))=0),0,IF(((Z$11+Z$59)-((SUMIFS(условия!$192:$192,условия!$8:$8,"&lt;="&amp;Z$9,условия!$9:$9,"&gt;="&amp;Z$9)/DAY(EOMONTH(Z$9,0)))*2*(Z$11+Z$59)-Y133))&lt;0,Y133+(Z$11+Z$59),IF((SUMIFS(условия!$192:$192,условия!$8:$8,"&lt;="&amp;Z$9,условия!$9:$9,"&gt;="&amp;Z$9)/DAY(EOMONTH(Z$9,0)))*2*(Z$11+Z$59)-Y133&lt;0,0,(SUMIFS(условия!$192:$192,условия!$8:$8,"&lt;="&amp;Z$9,условия!$9:$9,"&gt;="&amp;Z$9)/DAY(EOMONTH(Z$9,0)))*2*(Z$11+Z$59)-Y133))))</f>
        <v>0</v>
      </c>
      <c r="AA133" s="33">
        <f>IF(AA$9="",0,IF(OR(AA$9="",DAY(EOMONTH(AA$9,0))=0),0,IF(((AA$11+AA$59)-((SUMIFS(условия!$192:$192,условия!$8:$8,"&lt;="&amp;AA$9,условия!$9:$9,"&gt;="&amp;AA$9)/DAY(EOMONTH(AA$9,0)))*2*(AA$11+AA$59)-Z133))&lt;0,Z133+(AA$11+AA$59),IF((SUMIFS(условия!$192:$192,условия!$8:$8,"&lt;="&amp;AA$9,условия!$9:$9,"&gt;="&amp;AA$9)/DAY(EOMONTH(AA$9,0)))*2*(AA$11+AA$59)-Z133&lt;0,0,(SUMIFS(условия!$192:$192,условия!$8:$8,"&lt;="&amp;AA$9,условия!$9:$9,"&gt;="&amp;AA$9)/DAY(EOMONTH(AA$9,0)))*2*(AA$11+AA$59)-Z133))))</f>
        <v>0</v>
      </c>
      <c r="AB133" s="33">
        <f>IF(AB$9="",0,IF(OR(AB$9="",DAY(EOMONTH(AB$9,0))=0),0,IF(((AB$11+AB$59)-((SUMIFS(условия!$192:$192,условия!$8:$8,"&lt;="&amp;AB$9,условия!$9:$9,"&gt;="&amp;AB$9)/DAY(EOMONTH(AB$9,0)))*2*(AB$11+AB$59)-AA133))&lt;0,AA133+(AB$11+AB$59),IF((SUMIFS(условия!$192:$192,условия!$8:$8,"&lt;="&amp;AB$9,условия!$9:$9,"&gt;="&amp;AB$9)/DAY(EOMONTH(AB$9,0)))*2*(AB$11+AB$59)-AA133&lt;0,0,(SUMIFS(условия!$192:$192,условия!$8:$8,"&lt;="&amp;AB$9,условия!$9:$9,"&gt;="&amp;AB$9)/DAY(EOMONTH(AB$9,0)))*2*(AB$11+AB$59)-AA133))))</f>
        <v>0</v>
      </c>
      <c r="AC133" s="33">
        <f>IF(AC$9="",0,IF(OR(AC$9="",DAY(EOMONTH(AC$9,0))=0),0,IF(((AC$11+AC$59)-((SUMIFS(условия!$192:$192,условия!$8:$8,"&lt;="&amp;AC$9,условия!$9:$9,"&gt;="&amp;AC$9)/DAY(EOMONTH(AC$9,0)))*2*(AC$11+AC$59)-AB133))&lt;0,AB133+(AC$11+AC$59),IF((SUMIFS(условия!$192:$192,условия!$8:$8,"&lt;="&amp;AC$9,условия!$9:$9,"&gt;="&amp;AC$9)/DAY(EOMONTH(AC$9,0)))*2*(AC$11+AC$59)-AB133&lt;0,0,(SUMIFS(условия!$192:$192,условия!$8:$8,"&lt;="&amp;AC$9,условия!$9:$9,"&gt;="&amp;AC$9)/DAY(EOMONTH(AC$9,0)))*2*(AC$11+AC$59)-AB133))))</f>
        <v>0</v>
      </c>
      <c r="AD133" s="33">
        <f>IF(AD$9="",0,IF(OR(AD$9="",DAY(EOMONTH(AD$9,0))=0),0,IF(((AD$11+AD$59)-((SUMIFS(условия!$192:$192,условия!$8:$8,"&lt;="&amp;AD$9,условия!$9:$9,"&gt;="&amp;AD$9)/DAY(EOMONTH(AD$9,0)))*2*(AD$11+AD$59)-AC133))&lt;0,AC133+(AD$11+AD$59),IF((SUMIFS(условия!$192:$192,условия!$8:$8,"&lt;="&amp;AD$9,условия!$9:$9,"&gt;="&amp;AD$9)/DAY(EOMONTH(AD$9,0)))*2*(AD$11+AD$59)-AC133&lt;0,0,(SUMIFS(условия!$192:$192,условия!$8:$8,"&lt;="&amp;AD$9,условия!$9:$9,"&gt;="&amp;AD$9)/DAY(EOMONTH(AD$9,0)))*2*(AD$11+AD$59)-AC133))))</f>
        <v>0</v>
      </c>
      <c r="AE133" s="33">
        <f>IF(AE$9="",0,IF(OR(AE$9="",DAY(EOMONTH(AE$9,0))=0),0,IF(((AE$11+AE$59)-((SUMIFS(условия!$192:$192,условия!$8:$8,"&lt;="&amp;AE$9,условия!$9:$9,"&gt;="&amp;AE$9)/DAY(EOMONTH(AE$9,0)))*2*(AE$11+AE$59)-AD133))&lt;0,AD133+(AE$11+AE$59),IF((SUMIFS(условия!$192:$192,условия!$8:$8,"&lt;="&amp;AE$9,условия!$9:$9,"&gt;="&amp;AE$9)/DAY(EOMONTH(AE$9,0)))*2*(AE$11+AE$59)-AD133&lt;0,0,(SUMIFS(условия!$192:$192,условия!$8:$8,"&lt;="&amp;AE$9,условия!$9:$9,"&gt;="&amp;AE$9)/DAY(EOMONTH(AE$9,0)))*2*(AE$11+AE$59)-AD133))))</f>
        <v>0</v>
      </c>
      <c r="AF133" s="33">
        <f>IF(AF$9="",0,IF(OR(AF$9="",DAY(EOMONTH(AF$9,0))=0),0,IF(((AF$11+AF$59)-((SUMIFS(условия!$192:$192,условия!$8:$8,"&lt;="&amp;AF$9,условия!$9:$9,"&gt;="&amp;AF$9)/DAY(EOMONTH(AF$9,0)))*2*(AF$11+AF$59)-AE133))&lt;0,AE133+(AF$11+AF$59),IF((SUMIFS(условия!$192:$192,условия!$8:$8,"&lt;="&amp;AF$9,условия!$9:$9,"&gt;="&amp;AF$9)/DAY(EOMONTH(AF$9,0)))*2*(AF$11+AF$59)-AE133&lt;0,0,(SUMIFS(условия!$192:$192,условия!$8:$8,"&lt;="&amp;AF$9,условия!$9:$9,"&gt;="&amp;AF$9)/DAY(EOMONTH(AF$9,0)))*2*(AF$11+AF$59)-AE133))))</f>
        <v>0</v>
      </c>
      <c r="AG133" s="33">
        <f>IF(AG$9="",0,IF(OR(AG$9="",DAY(EOMONTH(AG$9,0))=0),0,IF(((AG$11+AG$59)-((SUMIFS(условия!$192:$192,условия!$8:$8,"&lt;="&amp;AG$9,условия!$9:$9,"&gt;="&amp;AG$9)/DAY(EOMONTH(AG$9,0)))*2*(AG$11+AG$59)-AF133))&lt;0,AF133+(AG$11+AG$59),IF((SUMIFS(условия!$192:$192,условия!$8:$8,"&lt;="&amp;AG$9,условия!$9:$9,"&gt;="&amp;AG$9)/DAY(EOMONTH(AG$9,0)))*2*(AG$11+AG$59)-AF133&lt;0,0,(SUMIFS(условия!$192:$192,условия!$8:$8,"&lt;="&amp;AG$9,условия!$9:$9,"&gt;="&amp;AG$9)/DAY(EOMONTH(AG$9,0)))*2*(AG$11+AG$59)-AF133))))</f>
        <v>0</v>
      </c>
      <c r="AH133" s="33">
        <f>IF(AH$9="",0,IF(OR(AH$9="",DAY(EOMONTH(AH$9,0))=0),0,IF(((AH$11+AH$59)-((SUMIFS(условия!$192:$192,условия!$8:$8,"&lt;="&amp;AH$9,условия!$9:$9,"&gt;="&amp;AH$9)/DAY(EOMONTH(AH$9,0)))*2*(AH$11+AH$59)-AG133))&lt;0,AG133+(AH$11+AH$59),IF((SUMIFS(условия!$192:$192,условия!$8:$8,"&lt;="&amp;AH$9,условия!$9:$9,"&gt;="&amp;AH$9)/DAY(EOMONTH(AH$9,0)))*2*(AH$11+AH$59)-AG133&lt;0,0,(SUMIFS(условия!$192:$192,условия!$8:$8,"&lt;="&amp;AH$9,условия!$9:$9,"&gt;="&amp;AH$9)/DAY(EOMONTH(AH$9,0)))*2*(AH$11+AH$59)-AG133))))</f>
        <v>0</v>
      </c>
      <c r="AI133" s="33">
        <f>IF(AI$9="",0,IF(OR(AI$9="",DAY(EOMONTH(AI$9,0))=0),0,IF(((AI$11+AI$59)-((SUMIFS(условия!$192:$192,условия!$8:$8,"&lt;="&amp;AI$9,условия!$9:$9,"&gt;="&amp;AI$9)/DAY(EOMONTH(AI$9,0)))*2*(AI$11+AI$59)-AH133))&lt;0,AH133+(AI$11+AI$59),IF((SUMIFS(условия!$192:$192,условия!$8:$8,"&lt;="&amp;AI$9,условия!$9:$9,"&gt;="&amp;AI$9)/DAY(EOMONTH(AI$9,0)))*2*(AI$11+AI$59)-AH133&lt;0,0,(SUMIFS(условия!$192:$192,условия!$8:$8,"&lt;="&amp;AI$9,условия!$9:$9,"&gt;="&amp;AI$9)/DAY(EOMONTH(AI$9,0)))*2*(AI$11+AI$59)-AH133))))</f>
        <v>0</v>
      </c>
      <c r="AJ133" s="33">
        <f>IF(AJ$9="",0,IF(OR(AJ$9="",DAY(EOMONTH(AJ$9,0))=0),0,IF(((AJ$11+AJ$59)-((SUMIFS(условия!$192:$192,условия!$8:$8,"&lt;="&amp;AJ$9,условия!$9:$9,"&gt;="&amp;AJ$9)/DAY(EOMONTH(AJ$9,0)))*2*(AJ$11+AJ$59)-AI133))&lt;0,AI133+(AJ$11+AJ$59),IF((SUMIFS(условия!$192:$192,условия!$8:$8,"&lt;="&amp;AJ$9,условия!$9:$9,"&gt;="&amp;AJ$9)/DAY(EOMONTH(AJ$9,0)))*2*(AJ$11+AJ$59)-AI133&lt;0,0,(SUMIFS(условия!$192:$192,условия!$8:$8,"&lt;="&amp;AJ$9,условия!$9:$9,"&gt;="&amp;AJ$9)/DAY(EOMONTH(AJ$9,0)))*2*(AJ$11+AJ$59)-AI133))))</f>
        <v>0</v>
      </c>
      <c r="AK133" s="33">
        <f>IF(AK$9="",0,IF(OR(AK$9="",DAY(EOMONTH(AK$9,0))=0),0,IF(((AK$11+AK$59)-((SUMIFS(условия!$192:$192,условия!$8:$8,"&lt;="&amp;AK$9,условия!$9:$9,"&gt;="&amp;AK$9)/DAY(EOMONTH(AK$9,0)))*2*(AK$11+AK$59)-AJ133))&lt;0,AJ133+(AK$11+AK$59),IF((SUMIFS(условия!$192:$192,условия!$8:$8,"&lt;="&amp;AK$9,условия!$9:$9,"&gt;="&amp;AK$9)/DAY(EOMONTH(AK$9,0)))*2*(AK$11+AK$59)-AJ133&lt;0,0,(SUMIFS(условия!$192:$192,условия!$8:$8,"&lt;="&amp;AK$9,условия!$9:$9,"&gt;="&amp;AK$9)/DAY(EOMONTH(AK$9,0)))*2*(AK$11+AK$59)-AJ133))))</f>
        <v>0</v>
      </c>
      <c r="AL133" s="33">
        <f>IF(AL$9="",0,IF(OR(AL$9="",DAY(EOMONTH(AL$9,0))=0),0,IF(((AL$11+AL$59)-((SUMIFS(условия!$192:$192,условия!$8:$8,"&lt;="&amp;AL$9,условия!$9:$9,"&gt;="&amp;AL$9)/DAY(EOMONTH(AL$9,0)))*2*(AL$11+AL$59)-AK133))&lt;0,AK133+(AL$11+AL$59),IF((SUMIFS(условия!$192:$192,условия!$8:$8,"&lt;="&amp;AL$9,условия!$9:$9,"&gt;="&amp;AL$9)/DAY(EOMONTH(AL$9,0)))*2*(AL$11+AL$59)-AK133&lt;0,0,(SUMIFS(условия!$192:$192,условия!$8:$8,"&lt;="&amp;AL$9,условия!$9:$9,"&gt;="&amp;AL$9)/DAY(EOMONTH(AL$9,0)))*2*(AL$11+AL$59)-AK133))))</f>
        <v>0</v>
      </c>
      <c r="AM133" s="33">
        <f>IF(AM$9="",0,IF(OR(AM$9="",DAY(EOMONTH(AM$9,0))=0),0,IF(((AM$11+AM$59)-((SUMIFS(условия!$192:$192,условия!$8:$8,"&lt;="&amp;AM$9,условия!$9:$9,"&gt;="&amp;AM$9)/DAY(EOMONTH(AM$9,0)))*2*(AM$11+AM$59)-AL133))&lt;0,AL133+(AM$11+AM$59),IF((SUMIFS(условия!$192:$192,условия!$8:$8,"&lt;="&amp;AM$9,условия!$9:$9,"&gt;="&amp;AM$9)/DAY(EOMONTH(AM$9,0)))*2*(AM$11+AM$59)-AL133&lt;0,0,(SUMIFS(условия!$192:$192,условия!$8:$8,"&lt;="&amp;AM$9,условия!$9:$9,"&gt;="&amp;AM$9)/DAY(EOMONTH(AM$9,0)))*2*(AM$11+AM$59)-AL133))))</f>
        <v>0</v>
      </c>
      <c r="AN133" s="33">
        <f>IF(AN$9="",0,IF(OR(AN$9="",DAY(EOMONTH(AN$9,0))=0),0,IF(((AN$11+AN$59)-((SUMIFS(условия!$192:$192,условия!$8:$8,"&lt;="&amp;AN$9,условия!$9:$9,"&gt;="&amp;AN$9)/DAY(EOMONTH(AN$9,0)))*2*(AN$11+AN$59)-AM133))&lt;0,AM133+(AN$11+AN$59),IF((SUMIFS(условия!$192:$192,условия!$8:$8,"&lt;="&amp;AN$9,условия!$9:$9,"&gt;="&amp;AN$9)/DAY(EOMONTH(AN$9,0)))*2*(AN$11+AN$59)-AM133&lt;0,0,(SUMIFS(условия!$192:$192,условия!$8:$8,"&lt;="&amp;AN$9,условия!$9:$9,"&gt;="&amp;AN$9)/DAY(EOMONTH(AN$9,0)))*2*(AN$11+AN$59)-AM133))))</f>
        <v>0</v>
      </c>
      <c r="AO133" s="33">
        <f>IF(AO$9="",0,IF(OR(AO$9="",DAY(EOMONTH(AO$9,0))=0),0,IF(((AO$11+AO$59)-((SUMIFS(условия!$192:$192,условия!$8:$8,"&lt;="&amp;AO$9,условия!$9:$9,"&gt;="&amp;AO$9)/DAY(EOMONTH(AO$9,0)))*2*(AO$11+AO$59)-AN133))&lt;0,AN133+(AO$11+AO$59),IF((SUMIFS(условия!$192:$192,условия!$8:$8,"&lt;="&amp;AO$9,условия!$9:$9,"&gt;="&amp;AO$9)/DAY(EOMONTH(AO$9,0)))*2*(AO$11+AO$59)-AN133&lt;0,0,(SUMIFS(условия!$192:$192,условия!$8:$8,"&lt;="&amp;AO$9,условия!$9:$9,"&gt;="&amp;AO$9)/DAY(EOMONTH(AO$9,0)))*2*(AO$11+AO$59)-AN133))))</f>
        <v>0</v>
      </c>
      <c r="AP133" s="33">
        <f>IF(AP$9="",0,IF(OR(AP$9="",DAY(EOMONTH(AP$9,0))=0),0,IF(((AP$11+AP$59)-((SUMIFS(условия!$192:$192,условия!$8:$8,"&lt;="&amp;AP$9,условия!$9:$9,"&gt;="&amp;AP$9)/DAY(EOMONTH(AP$9,0)))*2*(AP$11+AP$59)-AO133))&lt;0,AO133+(AP$11+AP$59),IF((SUMIFS(условия!$192:$192,условия!$8:$8,"&lt;="&amp;AP$9,условия!$9:$9,"&gt;="&amp;AP$9)/DAY(EOMONTH(AP$9,0)))*2*(AP$11+AP$59)-AO133&lt;0,0,(SUMIFS(условия!$192:$192,условия!$8:$8,"&lt;="&amp;AP$9,условия!$9:$9,"&gt;="&amp;AP$9)/DAY(EOMONTH(AP$9,0)))*2*(AP$11+AP$59)-AO133))))</f>
        <v>0</v>
      </c>
      <c r="AQ133" s="33">
        <f>IF(AQ$9="",0,IF(OR(AQ$9="",DAY(EOMONTH(AQ$9,0))=0),0,IF(((AQ$11+AQ$59)-((SUMIFS(условия!$192:$192,условия!$8:$8,"&lt;="&amp;AQ$9,условия!$9:$9,"&gt;="&amp;AQ$9)/DAY(EOMONTH(AQ$9,0)))*2*(AQ$11+AQ$59)-AP133))&lt;0,AP133+(AQ$11+AQ$59),IF((SUMIFS(условия!$192:$192,условия!$8:$8,"&lt;="&amp;AQ$9,условия!$9:$9,"&gt;="&amp;AQ$9)/DAY(EOMONTH(AQ$9,0)))*2*(AQ$11+AQ$59)-AP133&lt;0,0,(SUMIFS(условия!$192:$192,условия!$8:$8,"&lt;="&amp;AQ$9,условия!$9:$9,"&gt;="&amp;AQ$9)/DAY(EOMONTH(AQ$9,0)))*2*(AQ$11+AQ$59)-AP133))))</f>
        <v>0</v>
      </c>
      <c r="AR133" s="33">
        <f>IF(AR$9="",0,IF(OR(AR$9="",DAY(EOMONTH(AR$9,0))=0),0,IF(((AR$11+AR$59)-((SUMIFS(условия!$192:$192,условия!$8:$8,"&lt;="&amp;AR$9,условия!$9:$9,"&gt;="&amp;AR$9)/DAY(EOMONTH(AR$9,0)))*2*(AR$11+AR$59)-AQ133))&lt;0,AQ133+(AR$11+AR$59),IF((SUMIFS(условия!$192:$192,условия!$8:$8,"&lt;="&amp;AR$9,условия!$9:$9,"&gt;="&amp;AR$9)/DAY(EOMONTH(AR$9,0)))*2*(AR$11+AR$59)-AQ133&lt;0,0,(SUMIFS(условия!$192:$192,условия!$8:$8,"&lt;="&amp;AR$9,условия!$9:$9,"&gt;="&amp;AR$9)/DAY(EOMONTH(AR$9,0)))*2*(AR$11+AR$59)-AQ133))))</f>
        <v>0</v>
      </c>
      <c r="AS133" s="33">
        <f>IF(AS$9="",0,IF(OR(AS$9="",DAY(EOMONTH(AS$9,0))=0),0,IF(((AS$11+AS$59)-((SUMIFS(условия!$192:$192,условия!$8:$8,"&lt;="&amp;AS$9,условия!$9:$9,"&gt;="&amp;AS$9)/DAY(EOMONTH(AS$9,0)))*2*(AS$11+AS$59)-AR133))&lt;0,AR133+(AS$11+AS$59),IF((SUMIFS(условия!$192:$192,условия!$8:$8,"&lt;="&amp;AS$9,условия!$9:$9,"&gt;="&amp;AS$9)/DAY(EOMONTH(AS$9,0)))*2*(AS$11+AS$59)-AR133&lt;0,0,(SUMIFS(условия!$192:$192,условия!$8:$8,"&lt;="&amp;AS$9,условия!$9:$9,"&gt;="&amp;AS$9)/DAY(EOMONTH(AS$9,0)))*2*(AS$11+AS$59)-AR133))))</f>
        <v>0</v>
      </c>
      <c r="AT133" s="33">
        <f>IF(AT$9="",0,IF(OR(AT$9="",DAY(EOMONTH(AT$9,0))=0),0,IF(((AT$11+AT$59)-((SUMIFS(условия!$192:$192,условия!$8:$8,"&lt;="&amp;AT$9,условия!$9:$9,"&gt;="&amp;AT$9)/DAY(EOMONTH(AT$9,0)))*2*(AT$11+AT$59)-AS133))&lt;0,AS133+(AT$11+AT$59),IF((SUMIFS(условия!$192:$192,условия!$8:$8,"&lt;="&amp;AT$9,условия!$9:$9,"&gt;="&amp;AT$9)/DAY(EOMONTH(AT$9,0)))*2*(AT$11+AT$59)-AS133&lt;0,0,(SUMIFS(условия!$192:$192,условия!$8:$8,"&lt;="&amp;AT$9,условия!$9:$9,"&gt;="&amp;AT$9)/DAY(EOMONTH(AT$9,0)))*2*(AT$11+AT$59)-AS133))))</f>
        <v>0</v>
      </c>
      <c r="AU133" s="33">
        <f>IF(AU$9="",0,IF(OR(AU$9="",DAY(EOMONTH(AU$9,0))=0),0,IF(((AU$11+AU$59)-((SUMIFS(условия!$192:$192,условия!$8:$8,"&lt;="&amp;AU$9,условия!$9:$9,"&gt;="&amp;AU$9)/DAY(EOMONTH(AU$9,0)))*2*(AU$11+AU$59)-AT133))&lt;0,AT133+(AU$11+AU$59),IF((SUMIFS(условия!$192:$192,условия!$8:$8,"&lt;="&amp;AU$9,условия!$9:$9,"&gt;="&amp;AU$9)/DAY(EOMONTH(AU$9,0)))*2*(AU$11+AU$59)-AT133&lt;0,0,(SUMIFS(условия!$192:$192,условия!$8:$8,"&lt;="&amp;AU$9,условия!$9:$9,"&gt;="&amp;AU$9)/DAY(EOMONTH(AU$9,0)))*2*(AU$11+AU$59)-AT133))))</f>
        <v>0</v>
      </c>
      <c r="AV133" s="33">
        <f>IF(AV$9="",0,IF(OR(AV$9="",DAY(EOMONTH(AV$9,0))=0),0,IF(((AV$11+AV$59)-((SUMIFS(условия!$192:$192,условия!$8:$8,"&lt;="&amp;AV$9,условия!$9:$9,"&gt;="&amp;AV$9)/DAY(EOMONTH(AV$9,0)))*2*(AV$11+AV$59)-AU133))&lt;0,AU133+(AV$11+AV$59),IF((SUMIFS(условия!$192:$192,условия!$8:$8,"&lt;="&amp;AV$9,условия!$9:$9,"&gt;="&amp;AV$9)/DAY(EOMONTH(AV$9,0)))*2*(AV$11+AV$59)-AU133&lt;0,0,(SUMIFS(условия!$192:$192,условия!$8:$8,"&lt;="&amp;AV$9,условия!$9:$9,"&gt;="&amp;AV$9)/DAY(EOMONTH(AV$9,0)))*2*(AV$11+AV$59)-AU133))))</f>
        <v>0</v>
      </c>
      <c r="AW133" s="33">
        <f>IF(AW$9="",0,IF(OR(AW$9="",DAY(EOMONTH(AW$9,0))=0),0,IF(((AW$11+AW$59)-((SUMIFS(условия!$192:$192,условия!$8:$8,"&lt;="&amp;AW$9,условия!$9:$9,"&gt;="&amp;AW$9)/DAY(EOMONTH(AW$9,0)))*2*(AW$11+AW$59)-AV133))&lt;0,AV133+(AW$11+AW$59),IF((SUMIFS(условия!$192:$192,условия!$8:$8,"&lt;="&amp;AW$9,условия!$9:$9,"&gt;="&amp;AW$9)/DAY(EOMONTH(AW$9,0)))*2*(AW$11+AW$59)-AV133&lt;0,0,(SUMIFS(условия!$192:$192,условия!$8:$8,"&lt;="&amp;AW$9,условия!$9:$9,"&gt;="&amp;AW$9)/DAY(EOMONTH(AW$9,0)))*2*(AW$11+AW$59)-AV133))))</f>
        <v>0</v>
      </c>
      <c r="AX133" s="33">
        <f>IF(AX$9="",0,IF(OR(AX$9="",DAY(EOMONTH(AX$9,0))=0),0,IF(((AX$11+AX$59)-((SUMIFS(условия!$192:$192,условия!$8:$8,"&lt;="&amp;AX$9,условия!$9:$9,"&gt;="&amp;AX$9)/DAY(EOMONTH(AX$9,0)))*2*(AX$11+AX$59)-AW133))&lt;0,AW133+(AX$11+AX$59),IF((SUMIFS(условия!$192:$192,условия!$8:$8,"&lt;="&amp;AX$9,условия!$9:$9,"&gt;="&amp;AX$9)/DAY(EOMONTH(AX$9,0)))*2*(AX$11+AX$59)-AW133&lt;0,0,(SUMIFS(условия!$192:$192,условия!$8:$8,"&lt;="&amp;AX$9,условия!$9:$9,"&gt;="&amp;AX$9)/DAY(EOMONTH(AX$9,0)))*2*(AX$11+AX$59)-AW133))))</f>
        <v>0</v>
      </c>
      <c r="AY133" s="33">
        <f>IF(AY$9="",0,IF(OR(AY$9="",DAY(EOMONTH(AY$9,0))=0),0,IF(((AY$11+AY$59)-((SUMIFS(условия!$192:$192,условия!$8:$8,"&lt;="&amp;AY$9,условия!$9:$9,"&gt;="&amp;AY$9)/DAY(EOMONTH(AY$9,0)))*2*(AY$11+AY$59)-AX133))&lt;0,AX133+(AY$11+AY$59),IF((SUMIFS(условия!$192:$192,условия!$8:$8,"&lt;="&amp;AY$9,условия!$9:$9,"&gt;="&amp;AY$9)/DAY(EOMONTH(AY$9,0)))*2*(AY$11+AY$59)-AX133&lt;0,0,(SUMIFS(условия!$192:$192,условия!$8:$8,"&lt;="&amp;AY$9,условия!$9:$9,"&gt;="&amp;AY$9)/DAY(EOMONTH(AY$9,0)))*2*(AY$11+AY$59)-AX133))))</f>
        <v>0</v>
      </c>
      <c r="AZ133" s="33">
        <f>IF(AZ$9="",0,IF(OR(AZ$9="",DAY(EOMONTH(AZ$9,0))=0),0,IF(((AZ$11+AZ$59)-((SUMIFS(условия!$192:$192,условия!$8:$8,"&lt;="&amp;AZ$9,условия!$9:$9,"&gt;="&amp;AZ$9)/DAY(EOMONTH(AZ$9,0)))*2*(AZ$11+AZ$59)-AY133))&lt;0,AY133+(AZ$11+AZ$59),IF((SUMIFS(условия!$192:$192,условия!$8:$8,"&lt;="&amp;AZ$9,условия!$9:$9,"&gt;="&amp;AZ$9)/DAY(EOMONTH(AZ$9,0)))*2*(AZ$11+AZ$59)-AY133&lt;0,0,(SUMIFS(условия!$192:$192,условия!$8:$8,"&lt;="&amp;AZ$9,условия!$9:$9,"&gt;="&amp;AZ$9)/DAY(EOMONTH(AZ$9,0)))*2*(AZ$11+AZ$59)-AY133))))</f>
        <v>0</v>
      </c>
      <c r="BA133" s="33">
        <f>IF(BA$9="",0,IF(OR(BA$9="",DAY(EOMONTH(BA$9,0))=0),0,IF(((BA$11+BA$59)-((SUMIFS(условия!$192:$192,условия!$8:$8,"&lt;="&amp;BA$9,условия!$9:$9,"&gt;="&amp;BA$9)/DAY(EOMONTH(BA$9,0)))*2*(BA$11+BA$59)-AZ133))&lt;0,AZ133+(BA$11+BA$59),IF((SUMIFS(условия!$192:$192,условия!$8:$8,"&lt;="&amp;BA$9,условия!$9:$9,"&gt;="&amp;BA$9)/DAY(EOMONTH(BA$9,0)))*2*(BA$11+BA$59)-AZ133&lt;0,0,(SUMIFS(условия!$192:$192,условия!$8:$8,"&lt;="&amp;BA$9,условия!$9:$9,"&gt;="&amp;BA$9)/DAY(EOMONTH(BA$9,0)))*2*(BA$11+BA$59)-AZ133))))</f>
        <v>0</v>
      </c>
      <c r="BB133" s="33">
        <f>IF(BB$9="",0,IF(OR(BB$9="",DAY(EOMONTH(BB$9,0))=0),0,IF(((BB$11+BB$59)-((SUMIFS(условия!$192:$192,условия!$8:$8,"&lt;="&amp;BB$9,условия!$9:$9,"&gt;="&amp;BB$9)/DAY(EOMONTH(BB$9,0)))*2*(BB$11+BB$59)-BA133))&lt;0,BA133+(BB$11+BB$59),IF((SUMIFS(условия!$192:$192,условия!$8:$8,"&lt;="&amp;BB$9,условия!$9:$9,"&gt;="&amp;BB$9)/DAY(EOMONTH(BB$9,0)))*2*(BB$11+BB$59)-BA133&lt;0,0,(SUMIFS(условия!$192:$192,условия!$8:$8,"&lt;="&amp;BB$9,условия!$9:$9,"&gt;="&amp;BB$9)/DAY(EOMONTH(BB$9,0)))*2*(BB$11+BB$59)-BA133))))</f>
        <v>0</v>
      </c>
      <c r="BC133" s="33">
        <f>IF(BC$9="",0,IF(OR(BC$9="",DAY(EOMONTH(BC$9,0))=0),0,IF(((BC$11+BC$59)-((SUMIFS(условия!$192:$192,условия!$8:$8,"&lt;="&amp;BC$9,условия!$9:$9,"&gt;="&amp;BC$9)/DAY(EOMONTH(BC$9,0)))*2*(BC$11+BC$59)-BB133))&lt;0,BB133+(BC$11+BC$59),IF((SUMIFS(условия!$192:$192,условия!$8:$8,"&lt;="&amp;BC$9,условия!$9:$9,"&gt;="&amp;BC$9)/DAY(EOMONTH(BC$9,0)))*2*(BC$11+BC$59)-BB133&lt;0,0,(SUMIFS(условия!$192:$192,условия!$8:$8,"&lt;="&amp;BC$9,условия!$9:$9,"&gt;="&amp;BC$9)/DAY(EOMONTH(BC$9,0)))*2*(BC$11+BC$59)-BB133))))</f>
        <v>0</v>
      </c>
      <c r="BD133" s="33">
        <f>IF(BD$9="",0,IF(OR(BD$9="",DAY(EOMONTH(BD$9,0))=0),0,IF(((BD$11+BD$59)-((SUMIFS(условия!$192:$192,условия!$8:$8,"&lt;="&amp;BD$9,условия!$9:$9,"&gt;="&amp;BD$9)/DAY(EOMONTH(BD$9,0)))*2*(BD$11+BD$59)-BC133))&lt;0,BC133+(BD$11+BD$59),IF((SUMIFS(условия!$192:$192,условия!$8:$8,"&lt;="&amp;BD$9,условия!$9:$9,"&gt;="&amp;BD$9)/DAY(EOMONTH(BD$9,0)))*2*(BD$11+BD$59)-BC133&lt;0,0,(SUMIFS(условия!$192:$192,условия!$8:$8,"&lt;="&amp;BD$9,условия!$9:$9,"&gt;="&amp;BD$9)/DAY(EOMONTH(BD$9,0)))*2*(BD$11+BD$59)-BC133))))</f>
        <v>0</v>
      </c>
      <c r="BE133" s="33">
        <f>IF(BE$9="",0,IF(OR(BE$9="",DAY(EOMONTH(BE$9,0))=0),0,IF(((BE$11+BE$59)-((SUMIFS(условия!$192:$192,условия!$8:$8,"&lt;="&amp;BE$9,условия!$9:$9,"&gt;="&amp;BE$9)/DAY(EOMONTH(BE$9,0)))*2*(BE$11+BE$59)-BD133))&lt;0,BD133+(BE$11+BE$59),IF((SUMIFS(условия!$192:$192,условия!$8:$8,"&lt;="&amp;BE$9,условия!$9:$9,"&gt;="&amp;BE$9)/DAY(EOMONTH(BE$9,0)))*2*(BE$11+BE$59)-BD133&lt;0,0,(SUMIFS(условия!$192:$192,условия!$8:$8,"&lt;="&amp;BE$9,условия!$9:$9,"&gt;="&amp;BE$9)/DAY(EOMONTH(BE$9,0)))*2*(BE$11+BE$59)-BD133))))</f>
        <v>0</v>
      </c>
      <c r="BF133" s="33">
        <f>IF(BF$9="",0,IF(OR(BF$9="",DAY(EOMONTH(BF$9,0))=0),0,IF(((BF$11+BF$59)-((SUMIFS(условия!$192:$192,условия!$8:$8,"&lt;="&amp;BF$9,условия!$9:$9,"&gt;="&amp;BF$9)/DAY(EOMONTH(BF$9,0)))*2*(BF$11+BF$59)-BE133))&lt;0,BE133+(BF$11+BF$59),IF((SUMIFS(условия!$192:$192,условия!$8:$8,"&lt;="&amp;BF$9,условия!$9:$9,"&gt;="&amp;BF$9)/DAY(EOMONTH(BF$9,0)))*2*(BF$11+BF$59)-BE133&lt;0,0,(SUMIFS(условия!$192:$192,условия!$8:$8,"&lt;="&amp;BF$9,условия!$9:$9,"&gt;="&amp;BF$9)/DAY(EOMONTH(BF$9,0)))*2*(BF$11+BF$59)-BE133))))</f>
        <v>0</v>
      </c>
      <c r="BG133" s="33">
        <f>IF(BG$9="",0,IF(OR(BG$9="",DAY(EOMONTH(BG$9,0))=0),0,IF(((BG$11+BG$59)-((SUMIFS(условия!$192:$192,условия!$8:$8,"&lt;="&amp;BG$9,условия!$9:$9,"&gt;="&amp;BG$9)/DAY(EOMONTH(BG$9,0)))*2*(BG$11+BG$59)-BF133))&lt;0,BF133+(BG$11+BG$59),IF((SUMIFS(условия!$192:$192,условия!$8:$8,"&lt;="&amp;BG$9,условия!$9:$9,"&gt;="&amp;BG$9)/DAY(EOMONTH(BG$9,0)))*2*(BG$11+BG$59)-BF133&lt;0,0,(SUMIFS(условия!$192:$192,условия!$8:$8,"&lt;="&amp;BG$9,условия!$9:$9,"&gt;="&amp;BG$9)/DAY(EOMONTH(BG$9,0)))*2*(BG$11+BG$59)-BF133))))</f>
        <v>0</v>
      </c>
      <c r="BH133" s="33">
        <f>IF(BH$9="",0,IF(OR(BH$9="",DAY(EOMONTH(BH$9,0))=0),0,IF(((BH$11+BH$59)-((SUMIFS(условия!$192:$192,условия!$8:$8,"&lt;="&amp;BH$9,условия!$9:$9,"&gt;="&amp;BH$9)/DAY(EOMONTH(BH$9,0)))*2*(BH$11+BH$59)-BG133))&lt;0,BG133+(BH$11+BH$59),IF((SUMIFS(условия!$192:$192,условия!$8:$8,"&lt;="&amp;BH$9,условия!$9:$9,"&gt;="&amp;BH$9)/DAY(EOMONTH(BH$9,0)))*2*(BH$11+BH$59)-BG133&lt;0,0,(SUMIFS(условия!$192:$192,условия!$8:$8,"&lt;="&amp;BH$9,условия!$9:$9,"&gt;="&amp;BH$9)/DAY(EOMONTH(BH$9,0)))*2*(BH$11+BH$59)-BG133))))</f>
        <v>0</v>
      </c>
      <c r="BI133" s="33">
        <f>IF(BI$9="",0,IF(OR(BI$9="",DAY(EOMONTH(BI$9,0))=0),0,IF(((BI$11+BI$59)-((SUMIFS(условия!$192:$192,условия!$8:$8,"&lt;="&amp;BI$9,условия!$9:$9,"&gt;="&amp;BI$9)/DAY(EOMONTH(BI$9,0)))*2*(BI$11+BI$59)-BH133))&lt;0,BH133+(BI$11+BI$59),IF((SUMIFS(условия!$192:$192,условия!$8:$8,"&lt;="&amp;BI$9,условия!$9:$9,"&gt;="&amp;BI$9)/DAY(EOMONTH(BI$9,0)))*2*(BI$11+BI$59)-BH133&lt;0,0,(SUMIFS(условия!$192:$192,условия!$8:$8,"&lt;="&amp;BI$9,условия!$9:$9,"&gt;="&amp;BI$9)/DAY(EOMONTH(BI$9,0)))*2*(BI$11+BI$59)-BH133))))</f>
        <v>0</v>
      </c>
      <c r="BJ133" s="33">
        <f>IF(BJ$9="",0,IF(OR(BJ$9="",DAY(EOMONTH(BJ$9,0))=0),0,IF(((BJ$11+BJ$59)-((SUMIFS(условия!$192:$192,условия!$8:$8,"&lt;="&amp;BJ$9,условия!$9:$9,"&gt;="&amp;BJ$9)/DAY(EOMONTH(BJ$9,0)))*2*(BJ$11+BJ$59)-BI133))&lt;0,BI133+(BJ$11+BJ$59),IF((SUMIFS(условия!$192:$192,условия!$8:$8,"&lt;="&amp;BJ$9,условия!$9:$9,"&gt;="&amp;BJ$9)/DAY(EOMONTH(BJ$9,0)))*2*(BJ$11+BJ$59)-BI133&lt;0,0,(SUMIFS(условия!$192:$192,условия!$8:$8,"&lt;="&amp;BJ$9,условия!$9:$9,"&gt;="&amp;BJ$9)/DAY(EOMONTH(BJ$9,0)))*2*(BJ$11+BJ$59)-BI133))))</f>
        <v>0</v>
      </c>
      <c r="BK133" s="33">
        <f>IF(BK$9="",0,IF(OR(BK$9="",DAY(EOMONTH(BK$9,0))=0),0,IF(((BK$11+BK$59)-((SUMIFS(условия!$192:$192,условия!$8:$8,"&lt;="&amp;BK$9,условия!$9:$9,"&gt;="&amp;BK$9)/DAY(EOMONTH(BK$9,0)))*2*(BK$11+BK$59)-BJ133))&lt;0,BJ133+(BK$11+BK$59),IF((SUMIFS(условия!$192:$192,условия!$8:$8,"&lt;="&amp;BK$9,условия!$9:$9,"&gt;="&amp;BK$9)/DAY(EOMONTH(BK$9,0)))*2*(BK$11+BK$59)-BJ133&lt;0,0,(SUMIFS(условия!$192:$192,условия!$8:$8,"&lt;="&amp;BK$9,условия!$9:$9,"&gt;="&amp;BK$9)/DAY(EOMONTH(BK$9,0)))*2*(BK$11+BK$59)-BJ133))))</f>
        <v>0</v>
      </c>
      <c r="BL133" s="33">
        <f>IF(BL$9="",0,IF(OR(BL$9="",DAY(EOMONTH(BL$9,0))=0),0,IF(((BL$11+BL$59)-((SUMIFS(условия!$192:$192,условия!$8:$8,"&lt;="&amp;BL$9,условия!$9:$9,"&gt;="&amp;BL$9)/DAY(EOMONTH(BL$9,0)))*2*(BL$11+BL$59)-BK133))&lt;0,BK133+(BL$11+BL$59),IF((SUMIFS(условия!$192:$192,условия!$8:$8,"&lt;="&amp;BL$9,условия!$9:$9,"&gt;="&amp;BL$9)/DAY(EOMONTH(BL$9,0)))*2*(BL$11+BL$59)-BK133&lt;0,0,(SUMIFS(условия!$192:$192,условия!$8:$8,"&lt;="&amp;BL$9,условия!$9:$9,"&gt;="&amp;BL$9)/DAY(EOMONTH(BL$9,0)))*2*(BL$11+BL$59)-BK133))))</f>
        <v>0</v>
      </c>
      <c r="BM133" s="33">
        <f>IF(BM$9="",0,IF(OR(BM$9="",DAY(EOMONTH(BM$9,0))=0),0,IF(((BM$11+BM$59)-((SUMIFS(условия!$192:$192,условия!$8:$8,"&lt;="&amp;BM$9,условия!$9:$9,"&gt;="&amp;BM$9)/DAY(EOMONTH(BM$9,0)))*2*(BM$11+BM$59)-BL133))&lt;0,BL133+(BM$11+BM$59),IF((SUMIFS(условия!$192:$192,условия!$8:$8,"&lt;="&amp;BM$9,условия!$9:$9,"&gt;="&amp;BM$9)/DAY(EOMONTH(BM$9,0)))*2*(BM$11+BM$59)-BL133&lt;0,0,(SUMIFS(условия!$192:$192,условия!$8:$8,"&lt;="&amp;BM$9,условия!$9:$9,"&gt;="&amp;BM$9)/DAY(EOMONTH(BM$9,0)))*2*(BM$11+BM$59)-BL133))))</f>
        <v>0</v>
      </c>
      <c r="BN133" s="33">
        <f>IF(BN$9="",0,IF(OR(BN$9="",DAY(EOMONTH(BN$9,0))=0),0,IF(((BN$11+BN$59)-((SUMIFS(условия!$192:$192,условия!$8:$8,"&lt;="&amp;BN$9,условия!$9:$9,"&gt;="&amp;BN$9)/DAY(EOMONTH(BN$9,0)))*2*(BN$11+BN$59)-BM133))&lt;0,BM133+(BN$11+BN$59),IF((SUMIFS(условия!$192:$192,условия!$8:$8,"&lt;="&amp;BN$9,условия!$9:$9,"&gt;="&amp;BN$9)/DAY(EOMONTH(BN$9,0)))*2*(BN$11+BN$59)-BM133&lt;0,0,(SUMIFS(условия!$192:$192,условия!$8:$8,"&lt;="&amp;BN$9,условия!$9:$9,"&gt;="&amp;BN$9)/DAY(EOMONTH(BN$9,0)))*2*(BN$11+BN$59)-BM133))))</f>
        <v>0</v>
      </c>
      <c r="BO133" s="33">
        <f>IF(BO$9="",0,IF(OR(BO$9="",DAY(EOMONTH(BO$9,0))=0),0,IF(((BO$11+BO$59)-((SUMIFS(условия!$192:$192,условия!$8:$8,"&lt;="&amp;BO$9,условия!$9:$9,"&gt;="&amp;BO$9)/DAY(EOMONTH(BO$9,0)))*2*(BO$11+BO$59)-BN133))&lt;0,BN133+(BO$11+BO$59),IF((SUMIFS(условия!$192:$192,условия!$8:$8,"&lt;="&amp;BO$9,условия!$9:$9,"&gt;="&amp;BO$9)/DAY(EOMONTH(BO$9,0)))*2*(BO$11+BO$59)-BN133&lt;0,0,(SUMIFS(условия!$192:$192,условия!$8:$8,"&lt;="&amp;BO$9,условия!$9:$9,"&gt;="&amp;BO$9)/DAY(EOMONTH(BO$9,0)))*2*(BO$11+BO$59)-BN133))))</f>
        <v>0</v>
      </c>
      <c r="BP133" s="33">
        <f>IF(BP$9="",0,IF(OR(BP$9="",DAY(EOMONTH(BP$9,0))=0),0,IF(((BP$11+BP$59)-((SUMIFS(условия!$192:$192,условия!$8:$8,"&lt;="&amp;BP$9,условия!$9:$9,"&gt;="&amp;BP$9)/DAY(EOMONTH(BP$9,0)))*2*(BP$11+BP$59)-BO133))&lt;0,BO133+(BP$11+BP$59),IF((SUMIFS(условия!$192:$192,условия!$8:$8,"&lt;="&amp;BP$9,условия!$9:$9,"&gt;="&amp;BP$9)/DAY(EOMONTH(BP$9,0)))*2*(BP$11+BP$59)-BO133&lt;0,0,(SUMIFS(условия!$192:$192,условия!$8:$8,"&lt;="&amp;BP$9,условия!$9:$9,"&gt;="&amp;BP$9)/DAY(EOMONTH(BP$9,0)))*2*(BP$11+BP$59)-BO133))))</f>
        <v>0</v>
      </c>
      <c r="BQ133" s="33">
        <f>IF(BQ$9="",0,IF(OR(BQ$9="",DAY(EOMONTH(BQ$9,0))=0),0,IF(((BQ$11+BQ$59)-((SUMIFS(условия!$192:$192,условия!$8:$8,"&lt;="&amp;BQ$9,условия!$9:$9,"&gt;="&amp;BQ$9)/DAY(EOMONTH(BQ$9,0)))*2*(BQ$11+BQ$59)-BP133))&lt;0,BP133+(BQ$11+BQ$59),IF((SUMIFS(условия!$192:$192,условия!$8:$8,"&lt;="&amp;BQ$9,условия!$9:$9,"&gt;="&amp;BQ$9)/DAY(EOMONTH(BQ$9,0)))*2*(BQ$11+BQ$59)-BP133&lt;0,0,(SUMIFS(условия!$192:$192,условия!$8:$8,"&lt;="&amp;BQ$9,условия!$9:$9,"&gt;="&amp;BQ$9)/DAY(EOMONTH(BQ$9,0)))*2*(BQ$11+BQ$59)-BP133))))</f>
        <v>0</v>
      </c>
      <c r="BR133" s="33">
        <f>IF(BR$9="",0,IF(OR(BR$9="",DAY(EOMONTH(BR$9,0))=0),0,IF(((BR$11+BR$59)-((SUMIFS(условия!$192:$192,условия!$8:$8,"&lt;="&amp;BR$9,условия!$9:$9,"&gt;="&amp;BR$9)/DAY(EOMONTH(BR$9,0)))*2*(BR$11+BR$59)-BQ133))&lt;0,BQ133+(BR$11+BR$59),IF((SUMIFS(условия!$192:$192,условия!$8:$8,"&lt;="&amp;BR$9,условия!$9:$9,"&gt;="&amp;BR$9)/DAY(EOMONTH(BR$9,0)))*2*(BR$11+BR$59)-BQ133&lt;0,0,(SUMIFS(условия!$192:$192,условия!$8:$8,"&lt;="&amp;BR$9,условия!$9:$9,"&gt;="&amp;BR$9)/DAY(EOMONTH(BR$9,0)))*2*(BR$11+BR$59)-BQ133))))</f>
        <v>0</v>
      </c>
      <c r="BS133" s="33">
        <f>IF(BS$9="",0,IF(OR(BS$9="",DAY(EOMONTH(BS$9,0))=0),0,IF(((BS$11+BS$59)-((SUMIFS(условия!$192:$192,условия!$8:$8,"&lt;="&amp;BS$9,условия!$9:$9,"&gt;="&amp;BS$9)/DAY(EOMONTH(BS$9,0)))*2*(BS$11+BS$59)-BR133))&lt;0,BR133+(BS$11+BS$59),IF((SUMIFS(условия!$192:$192,условия!$8:$8,"&lt;="&amp;BS$9,условия!$9:$9,"&gt;="&amp;BS$9)/DAY(EOMONTH(BS$9,0)))*2*(BS$11+BS$59)-BR133&lt;0,0,(SUMIFS(условия!$192:$192,условия!$8:$8,"&lt;="&amp;BS$9,условия!$9:$9,"&gt;="&amp;BS$9)/DAY(EOMONTH(BS$9,0)))*2*(BS$11+BS$59)-BR133))))</f>
        <v>0</v>
      </c>
      <c r="BT133" s="33">
        <f>IF(BT$9="",0,IF(OR(BT$9="",DAY(EOMONTH(BT$9,0))=0),0,IF(((BT$11+BT$59)-((SUMIFS(условия!$192:$192,условия!$8:$8,"&lt;="&amp;BT$9,условия!$9:$9,"&gt;="&amp;BT$9)/DAY(EOMONTH(BT$9,0)))*2*(BT$11+BT$59)-BS133))&lt;0,BS133+(BT$11+BT$59),IF((SUMIFS(условия!$192:$192,условия!$8:$8,"&lt;="&amp;BT$9,условия!$9:$9,"&gt;="&amp;BT$9)/DAY(EOMONTH(BT$9,0)))*2*(BT$11+BT$59)-BS133&lt;0,0,(SUMIFS(условия!$192:$192,условия!$8:$8,"&lt;="&amp;BT$9,условия!$9:$9,"&gt;="&amp;BT$9)/DAY(EOMONTH(BT$9,0)))*2*(BT$11+BT$59)-BS133))))</f>
        <v>0</v>
      </c>
      <c r="BU133" s="33">
        <f>IF(BU$9="",0,IF(OR(BU$9="",DAY(EOMONTH(BU$9,0))=0),0,IF(((BU$11+BU$59)-((SUMIFS(условия!$192:$192,условия!$8:$8,"&lt;="&amp;BU$9,условия!$9:$9,"&gt;="&amp;BU$9)/DAY(EOMONTH(BU$9,0)))*2*(BU$11+BU$59)-BT133))&lt;0,BT133+(BU$11+BU$59),IF((SUMIFS(условия!$192:$192,условия!$8:$8,"&lt;="&amp;BU$9,условия!$9:$9,"&gt;="&amp;BU$9)/DAY(EOMONTH(BU$9,0)))*2*(BU$11+BU$59)-BT133&lt;0,0,(SUMIFS(условия!$192:$192,условия!$8:$8,"&lt;="&amp;BU$9,условия!$9:$9,"&gt;="&amp;BU$9)/DAY(EOMONTH(BU$9,0)))*2*(BU$11+BU$59)-BT133))))</f>
        <v>0</v>
      </c>
      <c r="BV133" s="33">
        <f>IF(BV$9="",0,IF(OR(BV$9="",DAY(EOMONTH(BV$9,0))=0),0,IF(((BV$11+BV$59)-((SUMIFS(условия!$192:$192,условия!$8:$8,"&lt;="&amp;BV$9,условия!$9:$9,"&gt;="&amp;BV$9)/DAY(EOMONTH(BV$9,0)))*2*(BV$11+BV$59)-BU133))&lt;0,BU133+(BV$11+BV$59),IF((SUMIFS(условия!$192:$192,условия!$8:$8,"&lt;="&amp;BV$9,условия!$9:$9,"&gt;="&amp;BV$9)/DAY(EOMONTH(BV$9,0)))*2*(BV$11+BV$59)-BU133&lt;0,0,(SUMIFS(условия!$192:$192,условия!$8:$8,"&lt;="&amp;BV$9,условия!$9:$9,"&gt;="&amp;BV$9)/DAY(EOMONTH(BV$9,0)))*2*(BV$11+BV$59)-BU133))))</f>
        <v>15907.183355000005</v>
      </c>
      <c r="BW133" s="33">
        <f>IF(BW$9="",0,IF(OR(BW$9="",DAY(EOMONTH(BW$9,0))=0),0,IF(((BW$11+BW$59)-((SUMIFS(условия!$192:$192,условия!$8:$8,"&lt;="&amp;BW$9,условия!$9:$9,"&gt;="&amp;BW$9)/DAY(EOMONTH(BW$9,0)))*2*(BW$11+BW$59)-BV133))&lt;0,BV133+(BW$11+BW$59),IF((SUMIFS(условия!$192:$192,условия!$8:$8,"&lt;="&amp;BW$9,условия!$9:$9,"&gt;="&amp;BW$9)/DAY(EOMONTH(BW$9,0)))*2*(BW$11+BW$59)-BV133&lt;0,0,(SUMIFS(условия!$192:$192,условия!$8:$8,"&lt;="&amp;BW$9,условия!$9:$9,"&gt;="&amp;BW$9)/DAY(EOMONTH(BW$9,0)))*2*(BW$11+BW$59)-BV133))))</f>
        <v>14880.913461129039</v>
      </c>
      <c r="BX133" s="33">
        <f>IF(BX$9="",0,IF(OR(BX$9="",DAY(EOMONTH(BX$9,0))=0),0,IF(((BX$11+BX$59)-((SUMIFS(условия!$192:$192,условия!$8:$8,"&lt;="&amp;BX$9,условия!$9:$9,"&gt;="&amp;BX$9)/DAY(EOMONTH(BX$9,0)))*2*(BX$11+BX$59)-BW133))&lt;0,BW133+(BX$11+BX$59),IF((SUMIFS(условия!$192:$192,условия!$8:$8,"&lt;="&amp;BX$9,условия!$9:$9,"&gt;="&amp;BX$9)/DAY(EOMONTH(BX$9,0)))*2*(BX$11+BX$59)-BW133&lt;0,0,(SUMIFS(условия!$192:$192,условия!$8:$8,"&lt;="&amp;BX$9,условия!$9:$9,"&gt;="&amp;BX$9)/DAY(EOMONTH(BX$9,0)))*2*(BX$11+BX$59)-BW133))))</f>
        <v>30788.096816129044</v>
      </c>
      <c r="BY133" s="33">
        <f>IF(BY$9="",0,IF(OR(BY$9="",DAY(EOMONTH(BY$9,0))=0),0,IF(((BY$11+BY$59)-((SUMIFS(условия!$192:$192,условия!$8:$8,"&lt;="&amp;BY$9,условия!$9:$9,"&gt;="&amp;BY$9)/DAY(EOMONTH(BY$9,0)))*2*(BY$11+BY$59)-BX133))&lt;0,BX133+(BY$11+BY$59),IF((SUMIFS(условия!$192:$192,условия!$8:$8,"&lt;="&amp;BY$9,условия!$9:$9,"&gt;="&amp;BY$9)/DAY(EOMONTH(BY$9,0)))*2*(BY$11+BY$59)-BX133&lt;0,0,(SUMIFS(условия!$192:$192,условия!$8:$8,"&lt;="&amp;BY$9,условия!$9:$9,"&gt;="&amp;BY$9)/DAY(EOMONTH(BY$9,0)))*2*(BY$11+BY$59)-BX133))))</f>
        <v>0</v>
      </c>
      <c r="BZ133" s="33">
        <f>IF(BZ$9="",0,IF(OR(BZ$9="",DAY(EOMONTH(BZ$9,0))=0),0,IF(((BZ$11+BZ$59)-((SUMIFS(условия!$192:$192,условия!$8:$8,"&lt;="&amp;BZ$9,условия!$9:$9,"&gt;="&amp;BZ$9)/DAY(EOMONTH(BZ$9,0)))*2*(BZ$11+BZ$59)-BY133))&lt;0,BY133+(BZ$11+BZ$59),IF((SUMIFS(условия!$192:$192,условия!$8:$8,"&lt;="&amp;BZ$9,условия!$9:$9,"&gt;="&amp;BZ$9)/DAY(EOMONTH(BZ$9,0)))*2*(BZ$11+BZ$59)-BY133&lt;0,0,(SUMIFS(условия!$192:$192,условия!$8:$8,"&lt;="&amp;BZ$9,условия!$9:$9,"&gt;="&amp;BZ$9)/DAY(EOMONTH(BZ$9,0)))*2*(BZ$11+BZ$59)-BY133))))</f>
        <v>0</v>
      </c>
      <c r="CA133" s="33">
        <f>IF(CA$9="",0,IF(OR(CA$9="",DAY(EOMONTH(CA$9,0))=0),0,IF(((CA$11+CA$59)-((SUMIFS(условия!$192:$192,условия!$8:$8,"&lt;="&amp;CA$9,условия!$9:$9,"&gt;="&amp;CA$9)/DAY(EOMONTH(CA$9,0)))*2*(CA$11+CA$59)-BZ133))&lt;0,BZ133+(CA$11+CA$59),IF((SUMIFS(условия!$192:$192,условия!$8:$8,"&lt;="&amp;CA$9,условия!$9:$9,"&gt;="&amp;CA$9)/DAY(EOMONTH(CA$9,0)))*2*(CA$11+CA$59)-BZ133&lt;0,0,(SUMIFS(условия!$192:$192,условия!$8:$8,"&lt;="&amp;CA$9,условия!$9:$9,"&gt;="&amp;CA$9)/DAY(EOMONTH(CA$9,0)))*2*(CA$11+CA$59)-BZ133))))</f>
        <v>0</v>
      </c>
      <c r="CB133" s="33">
        <f>IF(CB$9="",0,IF(OR(CB$9="",DAY(EOMONTH(CB$9,0))=0),0,IF(((CB$11+CB$59)-((SUMIFS(условия!$192:$192,условия!$8:$8,"&lt;="&amp;CB$9,условия!$9:$9,"&gt;="&amp;CB$9)/DAY(EOMONTH(CB$9,0)))*2*(CB$11+CB$59)-CA133))&lt;0,CA133+(CB$11+CB$59),IF((SUMIFS(условия!$192:$192,условия!$8:$8,"&lt;="&amp;CB$9,условия!$9:$9,"&gt;="&amp;CB$9)/DAY(EOMONTH(CB$9,0)))*2*(CB$11+CB$59)-CA133&lt;0,0,(SUMIFS(условия!$192:$192,условия!$8:$8,"&lt;="&amp;CB$9,условия!$9:$9,"&gt;="&amp;CB$9)/DAY(EOMONTH(CB$9,0)))*2*(CB$11+CB$59)-CA133))))</f>
        <v>0</v>
      </c>
      <c r="CC133" s="33">
        <f>IF(CC$9="",0,IF(OR(CC$9="",DAY(EOMONTH(CC$9,0))=0),0,IF(((CC$11+CC$59)-((SUMIFS(условия!$192:$192,условия!$8:$8,"&lt;="&amp;CC$9,условия!$9:$9,"&gt;="&amp;CC$9)/DAY(EOMONTH(CC$9,0)))*2*(CC$11+CC$59)-CB133))&lt;0,CB133+(CC$11+CC$59),IF((SUMIFS(условия!$192:$192,условия!$8:$8,"&lt;="&amp;CC$9,условия!$9:$9,"&gt;="&amp;CC$9)/DAY(EOMONTH(CC$9,0)))*2*(CC$11+CC$59)-CB133&lt;0,0,(SUMIFS(условия!$192:$192,условия!$8:$8,"&lt;="&amp;CC$9,условия!$9:$9,"&gt;="&amp;CC$9)/DAY(EOMONTH(CC$9,0)))*2*(CC$11+CC$59)-CB133))))</f>
        <v>0</v>
      </c>
      <c r="CD133" s="33">
        <f>IF(CD$9="",0,IF(OR(CD$9="",DAY(EOMONTH(CD$9,0))=0),0,IF(((CD$11+CD$59)-((SUMIFS(условия!$192:$192,условия!$8:$8,"&lt;="&amp;CD$9,условия!$9:$9,"&gt;="&amp;CD$9)/DAY(EOMONTH(CD$9,0)))*2*(CD$11+CD$59)-CC133))&lt;0,CC133+(CD$11+CD$59),IF((SUMIFS(условия!$192:$192,условия!$8:$8,"&lt;="&amp;CD$9,условия!$9:$9,"&gt;="&amp;CD$9)/DAY(EOMONTH(CD$9,0)))*2*(CD$11+CD$59)-CC133&lt;0,0,(SUMIFS(условия!$192:$192,условия!$8:$8,"&lt;="&amp;CD$9,условия!$9:$9,"&gt;="&amp;CD$9)/DAY(EOMONTH(CD$9,0)))*2*(CD$11+CD$59)-CC133))))</f>
        <v>0</v>
      </c>
      <c r="CE133" s="33">
        <f>IF(CE$9="",0,IF(OR(CE$9="",DAY(EOMONTH(CE$9,0))=0),0,IF(((CE$11+CE$59)-((SUMIFS(условия!$192:$192,условия!$8:$8,"&lt;="&amp;CE$9,условия!$9:$9,"&gt;="&amp;CE$9)/DAY(EOMONTH(CE$9,0)))*2*(CE$11+CE$59)-CD133))&lt;0,CD133+(CE$11+CE$59),IF((SUMIFS(условия!$192:$192,условия!$8:$8,"&lt;="&amp;CE$9,условия!$9:$9,"&gt;="&amp;CE$9)/DAY(EOMONTH(CE$9,0)))*2*(CE$11+CE$59)-CD133&lt;0,0,(SUMIFS(условия!$192:$192,условия!$8:$8,"&lt;="&amp;CE$9,условия!$9:$9,"&gt;="&amp;CE$9)/DAY(EOMONTH(CE$9,0)))*2*(CE$11+CE$59)-CD133))))</f>
        <v>0</v>
      </c>
      <c r="CF133" s="33">
        <f>IF(CF$9="",0,IF(OR(CF$9="",DAY(EOMONTH(CF$9,0))=0),0,IF(((CF$11+CF$59)-((SUMIFS(условия!$192:$192,условия!$8:$8,"&lt;="&amp;CF$9,условия!$9:$9,"&gt;="&amp;CF$9)/DAY(EOMONTH(CF$9,0)))*2*(CF$11+CF$59)-CE133))&lt;0,CE133+(CF$11+CF$59),IF((SUMIFS(условия!$192:$192,условия!$8:$8,"&lt;="&amp;CF$9,условия!$9:$9,"&gt;="&amp;CF$9)/DAY(EOMONTH(CF$9,0)))*2*(CF$11+CF$59)-CE133&lt;0,0,(SUMIFS(условия!$192:$192,условия!$8:$8,"&lt;="&amp;CF$9,условия!$9:$9,"&gt;="&amp;CF$9)/DAY(EOMONTH(CF$9,0)))*2*(CF$11+CF$59)-CE133))))</f>
        <v>0</v>
      </c>
      <c r="CG133" s="33">
        <f>IF(CG$9="",0,IF(OR(CG$9="",DAY(EOMONTH(CG$9,0))=0),0,IF(((CG$11+CG$59)-((SUMIFS(условия!$192:$192,условия!$8:$8,"&lt;="&amp;CG$9,условия!$9:$9,"&gt;="&amp;CG$9)/DAY(EOMONTH(CG$9,0)))*2*(CG$11+CG$59)-CF133))&lt;0,CF133+(CG$11+CG$59),IF((SUMIFS(условия!$192:$192,условия!$8:$8,"&lt;="&amp;CG$9,условия!$9:$9,"&gt;="&amp;CG$9)/DAY(EOMONTH(CG$9,0)))*2*(CG$11+CG$59)-CF133&lt;0,0,(SUMIFS(условия!$192:$192,условия!$8:$8,"&lt;="&amp;CG$9,условия!$9:$9,"&gt;="&amp;CG$9)/DAY(EOMONTH(CG$9,0)))*2*(CG$11+CG$59)-CF133))))</f>
        <v>0</v>
      </c>
      <c r="CH133" s="33">
        <f>IF(CH$9="",0,IF(OR(CH$9="",DAY(EOMONTH(CH$9,0))=0),0,IF(((CH$11+CH$59)-((SUMIFS(условия!$192:$192,условия!$8:$8,"&lt;="&amp;CH$9,условия!$9:$9,"&gt;="&amp;CH$9)/DAY(EOMONTH(CH$9,0)))*2*(CH$11+CH$59)-CG133))&lt;0,CG133+(CH$11+CH$59),IF((SUMIFS(условия!$192:$192,условия!$8:$8,"&lt;="&amp;CH$9,условия!$9:$9,"&gt;="&amp;CH$9)/DAY(EOMONTH(CH$9,0)))*2*(CH$11+CH$59)-CG133&lt;0,0,(SUMIFS(условия!$192:$192,условия!$8:$8,"&lt;="&amp;CH$9,условия!$9:$9,"&gt;="&amp;CH$9)/DAY(EOMONTH(CH$9,0)))*2*(CH$11+CH$59)-CG133))))</f>
        <v>0</v>
      </c>
      <c r="CI133" s="33">
        <f>IF(CI$9="",0,IF(OR(CI$9="",DAY(EOMONTH(CI$9,0))=0),0,IF(((CI$11+CI$59)-((SUMIFS(условия!$192:$192,условия!$8:$8,"&lt;="&amp;CI$9,условия!$9:$9,"&gt;="&amp;CI$9)/DAY(EOMONTH(CI$9,0)))*2*(CI$11+CI$59)-CH133))&lt;0,CH133+(CI$11+CI$59),IF((SUMIFS(условия!$192:$192,условия!$8:$8,"&lt;="&amp;CI$9,условия!$9:$9,"&gt;="&amp;CI$9)/DAY(EOMONTH(CI$9,0)))*2*(CI$11+CI$59)-CH133&lt;0,0,(SUMIFS(условия!$192:$192,условия!$8:$8,"&lt;="&amp;CI$9,условия!$9:$9,"&gt;="&amp;CI$9)/DAY(EOMONTH(CI$9,0)))*2*(CI$11+CI$59)-CH133))))</f>
        <v>0</v>
      </c>
      <c r="CJ133" s="33">
        <f>IF(CJ$9="",0,IF(OR(CJ$9="",DAY(EOMONTH(CJ$9,0))=0),0,IF(((CJ$11+CJ$59)-((SUMIFS(условия!$192:$192,условия!$8:$8,"&lt;="&amp;CJ$9,условия!$9:$9,"&gt;="&amp;CJ$9)/DAY(EOMONTH(CJ$9,0)))*2*(CJ$11+CJ$59)-CI133))&lt;0,CI133+(CJ$11+CJ$59),IF((SUMIFS(условия!$192:$192,условия!$8:$8,"&lt;="&amp;CJ$9,условия!$9:$9,"&gt;="&amp;CJ$9)/DAY(EOMONTH(CJ$9,0)))*2*(CJ$11+CJ$59)-CI133&lt;0,0,(SUMIFS(условия!$192:$192,условия!$8:$8,"&lt;="&amp;CJ$9,условия!$9:$9,"&gt;="&amp;CJ$9)/DAY(EOMONTH(CJ$9,0)))*2*(CJ$11+CJ$59)-CI133))))</f>
        <v>0</v>
      </c>
      <c r="CK133" s="33">
        <f>IF(CK$9="",0,IF(OR(CK$9="",DAY(EOMONTH(CK$9,0))=0),0,IF(((CK$11+CK$59)-((SUMIFS(условия!$192:$192,условия!$8:$8,"&lt;="&amp;CK$9,условия!$9:$9,"&gt;="&amp;CK$9)/DAY(EOMONTH(CK$9,0)))*2*(CK$11+CK$59)-CJ133))&lt;0,CJ133+(CK$11+CK$59),IF((SUMIFS(условия!$192:$192,условия!$8:$8,"&lt;="&amp;CK$9,условия!$9:$9,"&gt;="&amp;CK$9)/DAY(EOMONTH(CK$9,0)))*2*(CK$11+CK$59)-CJ133&lt;0,0,(SUMIFS(условия!$192:$192,условия!$8:$8,"&lt;="&amp;CK$9,условия!$9:$9,"&gt;="&amp;CK$9)/DAY(EOMONTH(CK$9,0)))*2*(CK$11+CK$59)-CJ133))))</f>
        <v>0</v>
      </c>
      <c r="CL133" s="33">
        <f>IF(CL$9="",0,IF(OR(CL$9="",DAY(EOMONTH(CL$9,0))=0),0,IF(((CL$11+CL$59)-((SUMIFS(условия!$192:$192,условия!$8:$8,"&lt;="&amp;CL$9,условия!$9:$9,"&gt;="&amp;CL$9)/DAY(EOMONTH(CL$9,0)))*2*(CL$11+CL$59)-CK133))&lt;0,CK133+(CL$11+CL$59),IF((SUMIFS(условия!$192:$192,условия!$8:$8,"&lt;="&amp;CL$9,условия!$9:$9,"&gt;="&amp;CL$9)/DAY(EOMONTH(CL$9,0)))*2*(CL$11+CL$59)-CK133&lt;0,0,(SUMIFS(условия!$192:$192,условия!$8:$8,"&lt;="&amp;CL$9,условия!$9:$9,"&gt;="&amp;CL$9)/DAY(EOMONTH(CL$9,0)))*2*(CL$11+CL$59)-CK133))))</f>
        <v>0</v>
      </c>
      <c r="CM133" s="33">
        <f>IF(CM$9="",0,IF(OR(CM$9="",DAY(EOMONTH(CM$9,0))=0),0,IF(((CM$11+CM$59)-((SUMIFS(условия!$192:$192,условия!$8:$8,"&lt;="&amp;CM$9,условия!$9:$9,"&gt;="&amp;CM$9)/DAY(EOMONTH(CM$9,0)))*2*(CM$11+CM$59)-CL133))&lt;0,CL133+(CM$11+CM$59),IF((SUMIFS(условия!$192:$192,условия!$8:$8,"&lt;="&amp;CM$9,условия!$9:$9,"&gt;="&amp;CM$9)/DAY(EOMONTH(CM$9,0)))*2*(CM$11+CM$59)-CL133&lt;0,0,(SUMIFS(условия!$192:$192,условия!$8:$8,"&lt;="&amp;CM$9,условия!$9:$9,"&gt;="&amp;CM$9)/DAY(EOMONTH(CM$9,0)))*2*(CM$11+CM$59)-CL133))))</f>
        <v>0</v>
      </c>
      <c r="CN133" s="33">
        <f>IF(CN$9="",0,IF(OR(CN$9="",DAY(EOMONTH(CN$9,0))=0),0,IF(((CN$11+CN$59)-((SUMIFS(условия!$192:$192,условия!$8:$8,"&lt;="&amp;CN$9,условия!$9:$9,"&gt;="&amp;CN$9)/DAY(EOMONTH(CN$9,0)))*2*(CN$11+CN$59)-CM133))&lt;0,CM133+(CN$11+CN$59),IF((SUMIFS(условия!$192:$192,условия!$8:$8,"&lt;="&amp;CN$9,условия!$9:$9,"&gt;="&amp;CN$9)/DAY(EOMONTH(CN$9,0)))*2*(CN$11+CN$59)-CM133&lt;0,0,(SUMIFS(условия!$192:$192,условия!$8:$8,"&lt;="&amp;CN$9,условия!$9:$9,"&gt;="&amp;CN$9)/DAY(EOMONTH(CN$9,0)))*2*(CN$11+CN$59)-CM133))))</f>
        <v>0</v>
      </c>
      <c r="CO133" s="33">
        <f>IF(CO$9="",0,IF(OR(CO$9="",DAY(EOMONTH(CO$9,0))=0),0,IF(((CO$11+CO$59)-((SUMIFS(условия!$192:$192,условия!$8:$8,"&lt;="&amp;CO$9,условия!$9:$9,"&gt;="&amp;CO$9)/DAY(EOMONTH(CO$9,0)))*2*(CO$11+CO$59)-CN133))&lt;0,CN133+(CO$11+CO$59),IF((SUMIFS(условия!$192:$192,условия!$8:$8,"&lt;="&amp;CO$9,условия!$9:$9,"&gt;="&amp;CO$9)/DAY(EOMONTH(CO$9,0)))*2*(CO$11+CO$59)-CN133&lt;0,0,(SUMIFS(условия!$192:$192,условия!$8:$8,"&lt;="&amp;CO$9,условия!$9:$9,"&gt;="&amp;CO$9)/DAY(EOMONTH(CO$9,0)))*2*(CO$11+CO$59)-CN133))))</f>
        <v>0</v>
      </c>
      <c r="CP133" s="33">
        <f>IF(CP$9="",0,IF(OR(CP$9="",DAY(EOMONTH(CP$9,0))=0),0,IF(((CP$11+CP$59)-((SUMIFS(условия!$192:$192,условия!$8:$8,"&lt;="&amp;CP$9,условия!$9:$9,"&gt;="&amp;CP$9)/DAY(EOMONTH(CP$9,0)))*2*(CP$11+CP$59)-CO133))&lt;0,CO133+(CP$11+CP$59),IF((SUMIFS(условия!$192:$192,условия!$8:$8,"&lt;="&amp;CP$9,условия!$9:$9,"&gt;="&amp;CP$9)/DAY(EOMONTH(CP$9,0)))*2*(CP$11+CP$59)-CO133&lt;0,0,(SUMIFS(условия!$192:$192,условия!$8:$8,"&lt;="&amp;CP$9,условия!$9:$9,"&gt;="&amp;CP$9)/DAY(EOMONTH(CP$9,0)))*2*(CP$11+CP$59)-CO133))))</f>
        <v>0</v>
      </c>
      <c r="CQ133" s="33">
        <f>IF(CQ$9="",0,IF(OR(CQ$9="",DAY(EOMONTH(CQ$9,0))=0),0,IF(((CQ$11+CQ$59)-((SUMIFS(условия!$192:$192,условия!$8:$8,"&lt;="&amp;CQ$9,условия!$9:$9,"&gt;="&amp;CQ$9)/DAY(EOMONTH(CQ$9,0)))*2*(CQ$11+CQ$59)-CP133))&lt;0,CP133+(CQ$11+CQ$59),IF((SUMIFS(условия!$192:$192,условия!$8:$8,"&lt;="&amp;CQ$9,условия!$9:$9,"&gt;="&amp;CQ$9)/DAY(EOMONTH(CQ$9,0)))*2*(CQ$11+CQ$59)-CP133&lt;0,0,(SUMIFS(условия!$192:$192,условия!$8:$8,"&lt;="&amp;CQ$9,условия!$9:$9,"&gt;="&amp;CQ$9)/DAY(EOMONTH(CQ$9,0)))*2*(CQ$11+CQ$59)-CP133))))</f>
        <v>0</v>
      </c>
      <c r="CR133" s="33">
        <f>IF(CR$9="",0,IF(OR(CR$9="",DAY(EOMONTH(CR$9,0))=0),0,IF(((CR$11+CR$59)-((SUMIFS(условия!$192:$192,условия!$8:$8,"&lt;="&amp;CR$9,условия!$9:$9,"&gt;="&amp;CR$9)/DAY(EOMONTH(CR$9,0)))*2*(CR$11+CR$59)-CQ133))&lt;0,CQ133+(CR$11+CR$59),IF((SUMIFS(условия!$192:$192,условия!$8:$8,"&lt;="&amp;CR$9,условия!$9:$9,"&gt;="&amp;CR$9)/DAY(EOMONTH(CR$9,0)))*2*(CR$11+CR$59)-CQ133&lt;0,0,(SUMIFS(условия!$192:$192,условия!$8:$8,"&lt;="&amp;CR$9,условия!$9:$9,"&gt;="&amp;CR$9)/DAY(EOMONTH(CR$9,0)))*2*(CR$11+CR$59)-CQ133))))</f>
        <v>0</v>
      </c>
      <c r="CS133" s="33">
        <f>IF(CS$9="",0,IF(OR(CS$9="",DAY(EOMONTH(CS$9,0))=0),0,IF(((CS$11+CS$59)-((SUMIFS(условия!$192:$192,условия!$8:$8,"&lt;="&amp;CS$9,условия!$9:$9,"&gt;="&amp;CS$9)/DAY(EOMONTH(CS$9,0)))*2*(CS$11+CS$59)-CR133))&lt;0,CR133+(CS$11+CS$59),IF((SUMIFS(условия!$192:$192,условия!$8:$8,"&lt;="&amp;CS$9,условия!$9:$9,"&gt;="&amp;CS$9)/DAY(EOMONTH(CS$9,0)))*2*(CS$11+CS$59)-CR133&lt;0,0,(SUMIFS(условия!$192:$192,условия!$8:$8,"&lt;="&amp;CS$9,условия!$9:$9,"&gt;="&amp;CS$9)/DAY(EOMONTH(CS$9,0)))*2*(CS$11+CS$59)-CR133))))</f>
        <v>0</v>
      </c>
      <c r="CT133" s="33">
        <f>IF(CT$9="",0,IF(OR(CT$9="",DAY(EOMONTH(CT$9,0))=0),0,IF(((CT$11+CT$59)-((SUMIFS(условия!$192:$192,условия!$8:$8,"&lt;="&amp;CT$9,условия!$9:$9,"&gt;="&amp;CT$9)/DAY(EOMONTH(CT$9,0)))*2*(CT$11+CT$59)-CS133))&lt;0,CS133+(CT$11+CT$59),IF((SUMIFS(условия!$192:$192,условия!$8:$8,"&lt;="&amp;CT$9,условия!$9:$9,"&gt;="&amp;CT$9)/DAY(EOMONTH(CT$9,0)))*2*(CT$11+CT$59)-CS133&lt;0,0,(SUMIFS(условия!$192:$192,условия!$8:$8,"&lt;="&amp;CT$9,условия!$9:$9,"&gt;="&amp;CT$9)/DAY(EOMONTH(CT$9,0)))*2*(CT$11+CT$59)-CS133))))</f>
        <v>0</v>
      </c>
      <c r="CU133" s="33">
        <f>IF(CU$9="",0,IF(OR(CU$9="",DAY(EOMONTH(CU$9,0))=0),0,IF(((CU$11+CU$59)-((SUMIFS(условия!$192:$192,условия!$8:$8,"&lt;="&amp;CU$9,условия!$9:$9,"&gt;="&amp;CU$9)/DAY(EOMONTH(CU$9,0)))*2*(CU$11+CU$59)-CT133))&lt;0,CT133+(CU$11+CU$59),IF((SUMIFS(условия!$192:$192,условия!$8:$8,"&lt;="&amp;CU$9,условия!$9:$9,"&gt;="&amp;CU$9)/DAY(EOMONTH(CU$9,0)))*2*(CU$11+CU$59)-CT133&lt;0,0,(SUMIFS(условия!$192:$192,условия!$8:$8,"&lt;="&amp;CU$9,условия!$9:$9,"&gt;="&amp;CU$9)/DAY(EOMONTH(CU$9,0)))*2*(CU$11+CU$59)-CT133))))</f>
        <v>0</v>
      </c>
      <c r="CV133" s="33">
        <f>IF(CV$9="",0,IF(OR(CV$9="",DAY(EOMONTH(CV$9,0))=0),0,IF(((CV$11+CV$59)-((SUMIFS(условия!$192:$192,условия!$8:$8,"&lt;="&amp;CV$9,условия!$9:$9,"&gt;="&amp;CV$9)/DAY(EOMONTH(CV$9,0)))*2*(CV$11+CV$59)-CU133))&lt;0,CU133+(CV$11+CV$59),IF((SUMIFS(условия!$192:$192,условия!$8:$8,"&lt;="&amp;CV$9,условия!$9:$9,"&gt;="&amp;CV$9)/DAY(EOMONTH(CV$9,0)))*2*(CV$11+CV$59)-CU133&lt;0,0,(SUMIFS(условия!$192:$192,условия!$8:$8,"&lt;="&amp;CV$9,условия!$9:$9,"&gt;="&amp;CV$9)/DAY(EOMONTH(CV$9,0)))*2*(CV$11+CV$59)-CU133))))</f>
        <v>0</v>
      </c>
      <c r="CW133" s="33">
        <f>IF(CW$9="",0,IF(OR(CW$9="",DAY(EOMONTH(CW$9,0))=0),0,IF(((CW$11+CW$59)-((SUMIFS(условия!$192:$192,условия!$8:$8,"&lt;="&amp;CW$9,условия!$9:$9,"&gt;="&amp;CW$9)/DAY(EOMONTH(CW$9,0)))*2*(CW$11+CW$59)-CV133))&lt;0,CV133+(CW$11+CW$59),IF((SUMIFS(условия!$192:$192,условия!$8:$8,"&lt;="&amp;CW$9,условия!$9:$9,"&gt;="&amp;CW$9)/DAY(EOMONTH(CW$9,0)))*2*(CW$11+CW$59)-CV133&lt;0,0,(SUMIFS(условия!$192:$192,условия!$8:$8,"&lt;="&amp;CW$9,условия!$9:$9,"&gt;="&amp;CW$9)/DAY(EOMONTH(CW$9,0)))*2*(CW$11+CW$59)-CV133))))</f>
        <v>0</v>
      </c>
      <c r="CX133" s="33">
        <f>IF(CX$9="",0,IF(OR(CX$9="",DAY(EOMONTH(CX$9,0))=0),0,IF(((CX$11+CX$59)-((SUMIFS(условия!$192:$192,условия!$8:$8,"&lt;="&amp;CX$9,условия!$9:$9,"&gt;="&amp;CX$9)/DAY(EOMONTH(CX$9,0)))*2*(CX$11+CX$59)-CW133))&lt;0,CW133+(CX$11+CX$59),IF((SUMIFS(условия!$192:$192,условия!$8:$8,"&lt;="&amp;CX$9,условия!$9:$9,"&gt;="&amp;CX$9)/DAY(EOMONTH(CX$9,0)))*2*(CX$11+CX$59)-CW133&lt;0,0,(SUMIFS(условия!$192:$192,условия!$8:$8,"&lt;="&amp;CX$9,условия!$9:$9,"&gt;="&amp;CX$9)/DAY(EOMONTH(CX$9,0)))*2*(CX$11+CX$59)-CW133))))</f>
        <v>0</v>
      </c>
      <c r="CY133" s="33">
        <f>IF(CY$9="",0,IF(OR(CY$9="",DAY(EOMONTH(CY$9,0))=0),0,IF(((CY$11+CY$59)-((SUMIFS(условия!$192:$192,условия!$8:$8,"&lt;="&amp;CY$9,условия!$9:$9,"&gt;="&amp;CY$9)/DAY(EOMONTH(CY$9,0)))*2*(CY$11+CY$59)-CX133))&lt;0,CX133+(CY$11+CY$59),IF((SUMIFS(условия!$192:$192,условия!$8:$8,"&lt;="&amp;CY$9,условия!$9:$9,"&gt;="&amp;CY$9)/DAY(EOMONTH(CY$9,0)))*2*(CY$11+CY$59)-CX133&lt;0,0,(SUMIFS(условия!$192:$192,условия!$8:$8,"&lt;="&amp;CY$9,условия!$9:$9,"&gt;="&amp;CY$9)/DAY(EOMONTH(CY$9,0)))*2*(CY$11+CY$59)-CX133))))</f>
        <v>0</v>
      </c>
      <c r="CZ133" s="33">
        <f>IF(CZ$9="",0,IF(OR(CZ$9="",DAY(EOMONTH(CZ$9,0))=0),0,IF(((CZ$11+CZ$59)-((SUMIFS(условия!$192:$192,условия!$8:$8,"&lt;="&amp;CZ$9,условия!$9:$9,"&gt;="&amp;CZ$9)/DAY(EOMONTH(CZ$9,0)))*2*(CZ$11+CZ$59)-CY133))&lt;0,CY133+(CZ$11+CZ$59),IF((SUMIFS(условия!$192:$192,условия!$8:$8,"&lt;="&amp;CZ$9,условия!$9:$9,"&gt;="&amp;CZ$9)/DAY(EOMONTH(CZ$9,0)))*2*(CZ$11+CZ$59)-CY133&lt;0,0,(SUMIFS(условия!$192:$192,условия!$8:$8,"&lt;="&amp;CZ$9,условия!$9:$9,"&gt;="&amp;CZ$9)/DAY(EOMONTH(CZ$9,0)))*2*(CZ$11+CZ$59)-CY133))))</f>
        <v>0</v>
      </c>
      <c r="DA133" s="33">
        <f>IF(DA$9="",0,IF(OR(DA$9="",DAY(EOMONTH(DA$9,0))=0),0,IF(((DA$11+DA$59)-((SUMIFS(условия!$192:$192,условия!$8:$8,"&lt;="&amp;DA$9,условия!$9:$9,"&gt;="&amp;DA$9)/DAY(EOMONTH(DA$9,0)))*2*(DA$11+DA$59)-CZ133))&lt;0,CZ133+(DA$11+DA$59),IF((SUMIFS(условия!$192:$192,условия!$8:$8,"&lt;="&amp;DA$9,условия!$9:$9,"&gt;="&amp;DA$9)/DAY(EOMONTH(DA$9,0)))*2*(DA$11+DA$59)-CZ133&lt;0,0,(SUMIFS(условия!$192:$192,условия!$8:$8,"&lt;="&amp;DA$9,условия!$9:$9,"&gt;="&amp;DA$9)/DAY(EOMONTH(DA$9,0)))*2*(DA$11+DA$59)-CZ133))))</f>
        <v>0</v>
      </c>
      <c r="DB133" s="33">
        <f>IF(DB$9="",0,IF(OR(DB$9="",DAY(EOMONTH(DB$9,0))=0),0,IF(((DB$11+DB$59)-((SUMIFS(условия!$192:$192,условия!$8:$8,"&lt;="&amp;DB$9,условия!$9:$9,"&gt;="&amp;DB$9)/DAY(EOMONTH(DB$9,0)))*2*(DB$11+DB$59)-DA133))&lt;0,DA133+(DB$11+DB$59),IF((SUMIFS(условия!$192:$192,условия!$8:$8,"&lt;="&amp;DB$9,условия!$9:$9,"&gt;="&amp;DB$9)/DAY(EOMONTH(DB$9,0)))*2*(DB$11+DB$59)-DA133&lt;0,0,(SUMIFS(условия!$192:$192,условия!$8:$8,"&lt;="&amp;DB$9,условия!$9:$9,"&gt;="&amp;DB$9)/DAY(EOMONTH(DB$9,0)))*2*(DB$11+DB$59)-DA133))))</f>
        <v>0</v>
      </c>
      <c r="DC133" s="33">
        <f>IF(DC$9="",0,IF(OR(DC$9="",DAY(EOMONTH(DC$9,0))=0),0,IF(((DC$11+DC$59)-((SUMIFS(условия!$192:$192,условия!$8:$8,"&lt;="&amp;DC$9,условия!$9:$9,"&gt;="&amp;DC$9)/DAY(EOMONTH(DC$9,0)))*2*(DC$11+DC$59)-DB133))&lt;0,DB133+(DC$11+DC$59),IF((SUMIFS(условия!$192:$192,условия!$8:$8,"&lt;="&amp;DC$9,условия!$9:$9,"&gt;="&amp;DC$9)/DAY(EOMONTH(DC$9,0)))*2*(DC$11+DC$59)-DB133&lt;0,0,(SUMIFS(условия!$192:$192,условия!$8:$8,"&lt;="&amp;DC$9,условия!$9:$9,"&gt;="&amp;DC$9)/DAY(EOMONTH(DC$9,0)))*2*(DC$11+DC$59)-DB133))))</f>
        <v>0</v>
      </c>
      <c r="DD133" s="33">
        <f>IF(DD$9="",0,IF(OR(DD$9="",DAY(EOMONTH(DD$9,0))=0),0,IF(((DD$11+DD$59)-((SUMIFS(условия!$192:$192,условия!$8:$8,"&lt;="&amp;DD$9,условия!$9:$9,"&gt;="&amp;DD$9)/DAY(EOMONTH(DD$9,0)))*2*(DD$11+DD$59)-DC133))&lt;0,DC133+(DD$11+DD$59),IF((SUMIFS(условия!$192:$192,условия!$8:$8,"&lt;="&amp;DD$9,условия!$9:$9,"&gt;="&amp;DD$9)/DAY(EOMONTH(DD$9,0)))*2*(DD$11+DD$59)-DC133&lt;0,0,(SUMIFS(условия!$192:$192,условия!$8:$8,"&lt;="&amp;DD$9,условия!$9:$9,"&gt;="&amp;DD$9)/DAY(EOMONTH(DD$9,0)))*2*(DD$11+DD$59)-DC133))))</f>
        <v>0</v>
      </c>
      <c r="DE133" s="33">
        <f>IF(DE$9="",0,IF(OR(DE$9="",DAY(EOMONTH(DE$9,0))=0),0,IF(((DE$11+DE$59)-((SUMIFS(условия!$192:$192,условия!$8:$8,"&lt;="&amp;DE$9,условия!$9:$9,"&gt;="&amp;DE$9)/DAY(EOMONTH(DE$9,0)))*2*(DE$11+DE$59)-DD133))&lt;0,DD133+(DE$11+DE$59),IF((SUMIFS(условия!$192:$192,условия!$8:$8,"&lt;="&amp;DE$9,условия!$9:$9,"&gt;="&amp;DE$9)/DAY(EOMONTH(DE$9,0)))*2*(DE$11+DE$59)-DD133&lt;0,0,(SUMIFS(условия!$192:$192,условия!$8:$8,"&lt;="&amp;DE$9,условия!$9:$9,"&gt;="&amp;DE$9)/DAY(EOMONTH(DE$9,0)))*2*(DE$11+DE$59)-DD133))))</f>
        <v>0</v>
      </c>
      <c r="DF133" s="33">
        <f>IF(DF$9="",0,IF(OR(DF$9="",DAY(EOMONTH(DF$9,0))=0),0,IF(((DF$11+DF$59)-((SUMIFS(условия!$192:$192,условия!$8:$8,"&lt;="&amp;DF$9,условия!$9:$9,"&gt;="&amp;DF$9)/DAY(EOMONTH(DF$9,0)))*2*(DF$11+DF$59)-DE133))&lt;0,DE133+(DF$11+DF$59),IF((SUMIFS(условия!$192:$192,условия!$8:$8,"&lt;="&amp;DF$9,условия!$9:$9,"&gt;="&amp;DF$9)/DAY(EOMONTH(DF$9,0)))*2*(DF$11+DF$59)-DE133&lt;0,0,(SUMIFS(условия!$192:$192,условия!$8:$8,"&lt;="&amp;DF$9,условия!$9:$9,"&gt;="&amp;DF$9)/DAY(EOMONTH(DF$9,0)))*2*(DF$11+DF$59)-DE133))))</f>
        <v>0</v>
      </c>
      <c r="DG133" s="33">
        <f>IF(DG$9="",0,IF(OR(DG$9="",DAY(EOMONTH(DG$9,0))=0),0,IF(((DG$11+DG$59)-((SUMIFS(условия!$192:$192,условия!$8:$8,"&lt;="&amp;DG$9,условия!$9:$9,"&gt;="&amp;DG$9)/DAY(EOMONTH(DG$9,0)))*2*(DG$11+DG$59)-DF133))&lt;0,DF133+(DG$11+DG$59),IF((SUMIFS(условия!$192:$192,условия!$8:$8,"&lt;="&amp;DG$9,условия!$9:$9,"&gt;="&amp;DG$9)/DAY(EOMONTH(DG$9,0)))*2*(DG$11+DG$59)-DF133&lt;0,0,(SUMIFS(условия!$192:$192,условия!$8:$8,"&lt;="&amp;DG$9,условия!$9:$9,"&gt;="&amp;DG$9)/DAY(EOMONTH(DG$9,0)))*2*(DG$11+DG$59)-DF133))))</f>
        <v>18766.976778561908</v>
      </c>
      <c r="DH133" s="33">
        <f>IF(DH$9="",0,IF(OR(DH$9="",DAY(EOMONTH(DH$9,0))=0),0,IF(((DH$11+DH$59)-((SUMIFS(условия!$192:$192,условия!$8:$8,"&lt;="&amp;DH$9,условия!$9:$9,"&gt;="&amp;DH$9)/DAY(EOMONTH(DH$9,0)))*2*(DH$11+DH$59)-DG133))&lt;0,DG133+(DH$11+DH$59),IF((SUMIFS(условия!$192:$192,условия!$8:$8,"&lt;="&amp;DH$9,условия!$9:$9,"&gt;="&amp;DH$9)/DAY(EOMONTH(DH$9,0)))*2*(DH$11+DH$59)-DG133&lt;0,0,(SUMIFS(условия!$192:$192,условия!$8:$8,"&lt;="&amp;DH$9,условия!$9:$9,"&gt;="&amp;DH$9)/DAY(EOMONTH(DH$9,0)))*2*(DH$11+DH$59)-DG133))))</f>
        <v>18766.976778561908</v>
      </c>
      <c r="DI133" s="33">
        <f>IF(DI$9="",0,IF(OR(DI$9="",DAY(EOMONTH(DI$9,0))=0),0,IF(((DI$11+DI$59)-((SUMIFS(условия!$192:$192,условия!$8:$8,"&lt;="&amp;DI$9,условия!$9:$9,"&gt;="&amp;DI$9)/DAY(EOMONTH(DI$9,0)))*2*(DI$11+DI$59)-DH133))&lt;0,DH133+(DI$11+DI$59),IF((SUMIFS(условия!$192:$192,условия!$8:$8,"&lt;="&amp;DI$9,условия!$9:$9,"&gt;="&amp;DI$9)/DAY(EOMONTH(DI$9,0)))*2*(DI$11+DI$59)-DH133&lt;0,0,(SUMIFS(условия!$192:$192,условия!$8:$8,"&lt;="&amp;DI$9,условия!$9:$9,"&gt;="&amp;DI$9)/DAY(EOMONTH(DI$9,0)))*2*(DI$11+DI$59)-DH133))))</f>
        <v>17556.204083170818</v>
      </c>
      <c r="DJ133" s="33">
        <f>IF(DJ$9="",0,IF(OR(DJ$9="",DAY(EOMONTH(DJ$9,0))=0),0,IF(((DJ$11+DJ$59)-((SUMIFS(условия!$192:$192,условия!$8:$8,"&lt;="&amp;DJ$9,условия!$9:$9,"&gt;="&amp;DJ$9)/DAY(EOMONTH(DJ$9,0)))*2*(DJ$11+DJ$59)-DI133))&lt;0,DI133+(DJ$11+DJ$59),IF((SUMIFS(условия!$192:$192,условия!$8:$8,"&lt;="&amp;DJ$9,условия!$9:$9,"&gt;="&amp;DJ$9)/DAY(EOMONTH(DJ$9,0)))*2*(DJ$11+DJ$59)-DI133&lt;0,0,(SUMIFS(условия!$192:$192,условия!$8:$8,"&lt;="&amp;DJ$9,условия!$9:$9,"&gt;="&amp;DJ$9)/DAY(EOMONTH(DJ$9,0)))*2*(DJ$11+DJ$59)-DI133))))</f>
        <v>36323.180861732726</v>
      </c>
      <c r="DK133" s="33">
        <f>IF(DK$9="",0,IF(OR(DK$9="",DAY(EOMONTH(DK$9,0))=0),0,IF(((DK$11+DK$59)-((SUMIFS(условия!$192:$192,условия!$8:$8,"&lt;="&amp;DK$9,условия!$9:$9,"&gt;="&amp;DK$9)/DAY(EOMONTH(DK$9,0)))*2*(DK$11+DK$59)-DJ133))&lt;0,DJ133+(DK$11+DK$59),IF((SUMIFS(условия!$192:$192,условия!$8:$8,"&lt;="&amp;DK$9,условия!$9:$9,"&gt;="&amp;DK$9)/DAY(EOMONTH(DK$9,0)))*2*(DK$11+DK$59)-DJ133&lt;0,0,(SUMIFS(условия!$192:$192,условия!$8:$8,"&lt;="&amp;DK$9,условия!$9:$9,"&gt;="&amp;DK$9)/DAY(EOMONTH(DK$9,0)))*2*(DK$11+DK$59)-DJ133))))</f>
        <v>0</v>
      </c>
      <c r="DL133" s="33">
        <f>IF(DL$9="",0,IF(OR(DL$9="",DAY(EOMONTH(DL$9,0))=0),0,IF(((DL$11+DL$59)-((SUMIFS(условия!$192:$192,условия!$8:$8,"&lt;="&amp;DL$9,условия!$9:$9,"&gt;="&amp;DL$9)/DAY(EOMONTH(DL$9,0)))*2*(DL$11+DL$59)-DK133))&lt;0,DK133+(DL$11+DL$59),IF((SUMIFS(условия!$192:$192,условия!$8:$8,"&lt;="&amp;DL$9,условия!$9:$9,"&gt;="&amp;DL$9)/DAY(EOMONTH(DL$9,0)))*2*(DL$11+DL$59)-DK133&lt;0,0,(SUMIFS(условия!$192:$192,условия!$8:$8,"&lt;="&amp;DL$9,условия!$9:$9,"&gt;="&amp;DL$9)/DAY(EOMONTH(DL$9,0)))*2*(DL$11+DL$59)-DK133))))</f>
        <v>0</v>
      </c>
      <c r="DM133" s="33">
        <f>IF(DM$9="",0,IF(OR(DM$9="",DAY(EOMONTH(DM$9,0))=0),0,IF(((DM$11+DM$59)-((SUMIFS(условия!$192:$192,условия!$8:$8,"&lt;="&amp;DM$9,условия!$9:$9,"&gt;="&amp;DM$9)/DAY(EOMONTH(DM$9,0)))*2*(DM$11+DM$59)-DL133))&lt;0,DL133+(DM$11+DM$59),IF((SUMIFS(условия!$192:$192,условия!$8:$8,"&lt;="&amp;DM$9,условия!$9:$9,"&gt;="&amp;DM$9)/DAY(EOMONTH(DM$9,0)))*2*(DM$11+DM$59)-DL133&lt;0,0,(SUMIFS(условия!$192:$192,условия!$8:$8,"&lt;="&amp;DM$9,условия!$9:$9,"&gt;="&amp;DM$9)/DAY(EOMONTH(DM$9,0)))*2*(DM$11+DM$59)-DL133))))</f>
        <v>0</v>
      </c>
      <c r="DN133" s="33">
        <f>IF(DN$9="",0,IF(OR(DN$9="",DAY(EOMONTH(DN$9,0))=0),0,IF(((DN$11+DN$59)-((SUMIFS(условия!$192:$192,условия!$8:$8,"&lt;="&amp;DN$9,условия!$9:$9,"&gt;="&amp;DN$9)/DAY(EOMONTH(DN$9,0)))*2*(DN$11+DN$59)-DM133))&lt;0,DM133+(DN$11+DN$59),IF((SUMIFS(условия!$192:$192,условия!$8:$8,"&lt;="&amp;DN$9,условия!$9:$9,"&gt;="&amp;DN$9)/DAY(EOMONTH(DN$9,0)))*2*(DN$11+DN$59)-DM133&lt;0,0,(SUMIFS(условия!$192:$192,условия!$8:$8,"&lt;="&amp;DN$9,условия!$9:$9,"&gt;="&amp;DN$9)/DAY(EOMONTH(DN$9,0)))*2*(DN$11+DN$59)-DM133))))</f>
        <v>0</v>
      </c>
      <c r="DO133" s="33">
        <f>IF(DO$9="",0,IF(OR(DO$9="",DAY(EOMONTH(DO$9,0))=0),0,IF(((DO$11+DO$59)-((SUMIFS(условия!$192:$192,условия!$8:$8,"&lt;="&amp;DO$9,условия!$9:$9,"&gt;="&amp;DO$9)/DAY(EOMONTH(DO$9,0)))*2*(DO$11+DO$59)-DN133))&lt;0,DN133+(DO$11+DO$59),IF((SUMIFS(условия!$192:$192,условия!$8:$8,"&lt;="&amp;DO$9,условия!$9:$9,"&gt;="&amp;DO$9)/DAY(EOMONTH(DO$9,0)))*2*(DO$11+DO$59)-DN133&lt;0,0,(SUMIFS(условия!$192:$192,условия!$8:$8,"&lt;="&amp;DO$9,условия!$9:$9,"&gt;="&amp;DO$9)/DAY(EOMONTH(DO$9,0)))*2*(DO$11+DO$59)-DN133))))</f>
        <v>0</v>
      </c>
      <c r="DP133" s="33">
        <f>IF(DP$9="",0,IF(OR(DP$9="",DAY(EOMONTH(DP$9,0))=0),0,IF(((DP$11+DP$59)-((SUMIFS(условия!$192:$192,условия!$8:$8,"&lt;="&amp;DP$9,условия!$9:$9,"&gt;="&amp;DP$9)/DAY(EOMONTH(DP$9,0)))*2*(DP$11+DP$59)-DO133))&lt;0,DO133+(DP$11+DP$59),IF((SUMIFS(условия!$192:$192,условия!$8:$8,"&lt;="&amp;DP$9,условия!$9:$9,"&gt;="&amp;DP$9)/DAY(EOMONTH(DP$9,0)))*2*(DP$11+DP$59)-DO133&lt;0,0,(SUMIFS(условия!$192:$192,условия!$8:$8,"&lt;="&amp;DP$9,условия!$9:$9,"&gt;="&amp;DP$9)/DAY(EOMONTH(DP$9,0)))*2*(DP$11+DP$59)-DO133))))</f>
        <v>0</v>
      </c>
      <c r="DQ133" s="33">
        <f>IF(DQ$9="",0,IF(OR(DQ$9="",DAY(EOMONTH(DQ$9,0))=0),0,IF(((DQ$11+DQ$59)-((SUMIFS(условия!$192:$192,условия!$8:$8,"&lt;="&amp;DQ$9,условия!$9:$9,"&gt;="&amp;DQ$9)/DAY(EOMONTH(DQ$9,0)))*2*(DQ$11+DQ$59)-DP133))&lt;0,DP133+(DQ$11+DQ$59),IF((SUMIFS(условия!$192:$192,условия!$8:$8,"&lt;="&amp;DQ$9,условия!$9:$9,"&gt;="&amp;DQ$9)/DAY(EOMONTH(DQ$9,0)))*2*(DQ$11+DQ$59)-DP133&lt;0,0,(SUMIFS(условия!$192:$192,условия!$8:$8,"&lt;="&amp;DQ$9,условия!$9:$9,"&gt;="&amp;DQ$9)/DAY(EOMONTH(DQ$9,0)))*2*(DQ$11+DQ$59)-DP133))))</f>
        <v>0</v>
      </c>
      <c r="DR133" s="33">
        <f>IF(DR$9="",0,IF(OR(DR$9="",DAY(EOMONTH(DR$9,0))=0),0,IF(((DR$11+DR$59)-((SUMIFS(условия!$192:$192,условия!$8:$8,"&lt;="&amp;DR$9,условия!$9:$9,"&gt;="&amp;DR$9)/DAY(EOMONTH(DR$9,0)))*2*(DR$11+DR$59)-DQ133))&lt;0,DQ133+(DR$11+DR$59),IF((SUMIFS(условия!$192:$192,условия!$8:$8,"&lt;="&amp;DR$9,условия!$9:$9,"&gt;="&amp;DR$9)/DAY(EOMONTH(DR$9,0)))*2*(DR$11+DR$59)-DQ133&lt;0,0,(SUMIFS(условия!$192:$192,условия!$8:$8,"&lt;="&amp;DR$9,условия!$9:$9,"&gt;="&amp;DR$9)/DAY(EOMONTH(DR$9,0)))*2*(DR$11+DR$59)-DQ133))))</f>
        <v>0</v>
      </c>
      <c r="DS133" s="33">
        <f>IF(DS$9="",0,IF(OR(DS$9="",DAY(EOMONTH(DS$9,0))=0),0,IF(((DS$11+DS$59)-((SUMIFS(условия!$192:$192,условия!$8:$8,"&lt;="&amp;DS$9,условия!$9:$9,"&gt;="&amp;DS$9)/DAY(EOMONTH(DS$9,0)))*2*(DS$11+DS$59)-DR133))&lt;0,DR133+(DS$11+DS$59),IF((SUMIFS(условия!$192:$192,условия!$8:$8,"&lt;="&amp;DS$9,условия!$9:$9,"&gt;="&amp;DS$9)/DAY(EOMONTH(DS$9,0)))*2*(DS$11+DS$59)-DR133&lt;0,0,(SUMIFS(условия!$192:$192,условия!$8:$8,"&lt;="&amp;DS$9,условия!$9:$9,"&gt;="&amp;DS$9)/DAY(EOMONTH(DS$9,0)))*2*(DS$11+DS$59)-DR133))))</f>
        <v>0</v>
      </c>
      <c r="DT133" s="33">
        <f>IF(DT$9="",0,IF(OR(DT$9="",DAY(EOMONTH(DT$9,0))=0),0,IF(((DT$11+DT$59)-((SUMIFS(условия!$192:$192,условия!$8:$8,"&lt;="&amp;DT$9,условия!$9:$9,"&gt;="&amp;DT$9)/DAY(EOMONTH(DT$9,0)))*2*(DT$11+DT$59)-DS133))&lt;0,DS133+(DT$11+DT$59),IF((SUMIFS(условия!$192:$192,условия!$8:$8,"&lt;="&amp;DT$9,условия!$9:$9,"&gt;="&amp;DT$9)/DAY(EOMONTH(DT$9,0)))*2*(DT$11+DT$59)-DS133&lt;0,0,(SUMIFS(условия!$192:$192,условия!$8:$8,"&lt;="&amp;DT$9,условия!$9:$9,"&gt;="&amp;DT$9)/DAY(EOMONTH(DT$9,0)))*2*(DT$11+DT$59)-DS133))))</f>
        <v>0</v>
      </c>
      <c r="DU133" s="33">
        <f>IF(DU$9="",0,IF(OR(DU$9="",DAY(EOMONTH(DU$9,0))=0),0,IF(((DU$11+DU$59)-((SUMIFS(условия!$192:$192,условия!$8:$8,"&lt;="&amp;DU$9,условия!$9:$9,"&gt;="&amp;DU$9)/DAY(EOMONTH(DU$9,0)))*2*(DU$11+DU$59)-DT133))&lt;0,DT133+(DU$11+DU$59),IF((SUMIFS(условия!$192:$192,условия!$8:$8,"&lt;="&amp;DU$9,условия!$9:$9,"&gt;="&amp;DU$9)/DAY(EOMONTH(DU$9,0)))*2*(DU$11+DU$59)-DT133&lt;0,0,(SUMIFS(условия!$192:$192,условия!$8:$8,"&lt;="&amp;DU$9,условия!$9:$9,"&gt;="&amp;DU$9)/DAY(EOMONTH(DU$9,0)))*2*(DU$11+DU$59)-DT133))))</f>
        <v>0</v>
      </c>
      <c r="DV133" s="33">
        <f>IF(DV$9="",0,IF(OR(DV$9="",DAY(EOMONTH(DV$9,0))=0),0,IF(((DV$11+DV$59)-((SUMIFS(условия!$192:$192,условия!$8:$8,"&lt;="&amp;DV$9,условия!$9:$9,"&gt;="&amp;DV$9)/DAY(EOMONTH(DV$9,0)))*2*(DV$11+DV$59)-DU133))&lt;0,DU133+(DV$11+DV$59),IF((SUMIFS(условия!$192:$192,условия!$8:$8,"&lt;="&amp;DV$9,условия!$9:$9,"&gt;="&amp;DV$9)/DAY(EOMONTH(DV$9,0)))*2*(DV$11+DV$59)-DU133&lt;0,0,(SUMIFS(условия!$192:$192,условия!$8:$8,"&lt;="&amp;DV$9,условия!$9:$9,"&gt;="&amp;DV$9)/DAY(EOMONTH(DV$9,0)))*2*(DV$11+DV$59)-DU133))))</f>
        <v>0</v>
      </c>
      <c r="DW133" s="33">
        <f>IF(DW$9="",0,IF(OR(DW$9="",DAY(EOMONTH(DW$9,0))=0),0,IF(((DW$11+DW$59)-((SUMIFS(условия!$192:$192,условия!$8:$8,"&lt;="&amp;DW$9,условия!$9:$9,"&gt;="&amp;DW$9)/DAY(EOMONTH(DW$9,0)))*2*(DW$11+DW$59)-DV133))&lt;0,DV133+(DW$11+DW$59),IF((SUMIFS(условия!$192:$192,условия!$8:$8,"&lt;="&amp;DW$9,условия!$9:$9,"&gt;="&amp;DW$9)/DAY(EOMONTH(DW$9,0)))*2*(DW$11+DW$59)-DV133&lt;0,0,(SUMIFS(условия!$192:$192,условия!$8:$8,"&lt;="&amp;DW$9,условия!$9:$9,"&gt;="&amp;DW$9)/DAY(EOMONTH(DW$9,0)))*2*(DW$11+DW$59)-DV133))))</f>
        <v>0</v>
      </c>
      <c r="DX133" s="33">
        <f>IF(DX$9="",0,IF(OR(DX$9="",DAY(EOMONTH(DX$9,0))=0),0,IF(((DX$11+DX$59)-((SUMIFS(условия!$192:$192,условия!$8:$8,"&lt;="&amp;DX$9,условия!$9:$9,"&gt;="&amp;DX$9)/DAY(EOMONTH(DX$9,0)))*2*(DX$11+DX$59)-DW133))&lt;0,DW133+(DX$11+DX$59),IF((SUMIFS(условия!$192:$192,условия!$8:$8,"&lt;="&amp;DX$9,условия!$9:$9,"&gt;="&amp;DX$9)/DAY(EOMONTH(DX$9,0)))*2*(DX$11+DX$59)-DW133&lt;0,0,(SUMIFS(условия!$192:$192,условия!$8:$8,"&lt;="&amp;DX$9,условия!$9:$9,"&gt;="&amp;DX$9)/DAY(EOMONTH(DX$9,0)))*2*(DX$11+DX$59)-DW133))))</f>
        <v>0</v>
      </c>
      <c r="DY133" s="33">
        <f>IF(DY$9="",0,IF(OR(DY$9="",DAY(EOMONTH(DY$9,0))=0),0,IF(((DY$11+DY$59)-((SUMIFS(условия!$192:$192,условия!$8:$8,"&lt;="&amp;DY$9,условия!$9:$9,"&gt;="&amp;DY$9)/DAY(EOMONTH(DY$9,0)))*2*(DY$11+DY$59)-DX133))&lt;0,DX133+(DY$11+DY$59),IF((SUMIFS(условия!$192:$192,условия!$8:$8,"&lt;="&amp;DY$9,условия!$9:$9,"&gt;="&amp;DY$9)/DAY(EOMONTH(DY$9,0)))*2*(DY$11+DY$59)-DX133&lt;0,0,(SUMIFS(условия!$192:$192,условия!$8:$8,"&lt;="&amp;DY$9,условия!$9:$9,"&gt;="&amp;DY$9)/DAY(EOMONTH(DY$9,0)))*2*(DY$11+DY$59)-DX133))))</f>
        <v>0</v>
      </c>
      <c r="DZ133" s="33">
        <f>IF(DZ$9="",0,IF(OR(DZ$9="",DAY(EOMONTH(DZ$9,0))=0),0,IF(((DZ$11+DZ$59)-((SUMIFS(условия!$192:$192,условия!$8:$8,"&lt;="&amp;DZ$9,условия!$9:$9,"&gt;="&amp;DZ$9)/DAY(EOMONTH(DZ$9,0)))*2*(DZ$11+DZ$59)-DY133))&lt;0,DY133+(DZ$11+DZ$59),IF((SUMIFS(условия!$192:$192,условия!$8:$8,"&lt;="&amp;DZ$9,условия!$9:$9,"&gt;="&amp;DZ$9)/DAY(EOMONTH(DZ$9,0)))*2*(DZ$11+DZ$59)-DY133&lt;0,0,(SUMIFS(условия!$192:$192,условия!$8:$8,"&lt;="&amp;DZ$9,условия!$9:$9,"&gt;="&amp;DZ$9)/DAY(EOMONTH(DZ$9,0)))*2*(DZ$11+DZ$59)-DY133))))</f>
        <v>0</v>
      </c>
      <c r="EA133" s="33">
        <f>IF(EA$9="",0,IF(OR(EA$9="",DAY(EOMONTH(EA$9,0))=0),0,IF(((EA$11+EA$59)-((SUMIFS(условия!$192:$192,условия!$8:$8,"&lt;="&amp;EA$9,условия!$9:$9,"&gt;="&amp;EA$9)/DAY(EOMONTH(EA$9,0)))*2*(EA$11+EA$59)-DZ133))&lt;0,DZ133+(EA$11+EA$59),IF((SUMIFS(условия!$192:$192,условия!$8:$8,"&lt;="&amp;EA$9,условия!$9:$9,"&gt;="&amp;EA$9)/DAY(EOMONTH(EA$9,0)))*2*(EA$11+EA$59)-DZ133&lt;0,0,(SUMIFS(условия!$192:$192,условия!$8:$8,"&lt;="&amp;EA$9,условия!$9:$9,"&gt;="&amp;EA$9)/DAY(EOMONTH(EA$9,0)))*2*(EA$11+EA$59)-DZ133))))</f>
        <v>0</v>
      </c>
      <c r="EB133" s="33">
        <f>IF(EB$9="",0,IF(OR(EB$9="",DAY(EOMONTH(EB$9,0))=0),0,IF(((EB$11+EB$59)-((SUMIFS(условия!$192:$192,условия!$8:$8,"&lt;="&amp;EB$9,условия!$9:$9,"&gt;="&amp;EB$9)/DAY(EOMONTH(EB$9,0)))*2*(EB$11+EB$59)-EA133))&lt;0,EA133+(EB$11+EB$59),IF((SUMIFS(условия!$192:$192,условия!$8:$8,"&lt;="&amp;EB$9,условия!$9:$9,"&gt;="&amp;EB$9)/DAY(EOMONTH(EB$9,0)))*2*(EB$11+EB$59)-EA133&lt;0,0,(SUMIFS(условия!$192:$192,условия!$8:$8,"&lt;="&amp;EB$9,условия!$9:$9,"&gt;="&amp;EB$9)/DAY(EOMONTH(EB$9,0)))*2*(EB$11+EB$59)-EA133))))</f>
        <v>0</v>
      </c>
      <c r="EC133" s="33">
        <f>IF(EC$9="",0,IF(OR(EC$9="",DAY(EOMONTH(EC$9,0))=0),0,IF(((EC$11+EC$59)-((SUMIFS(условия!$192:$192,условия!$8:$8,"&lt;="&amp;EC$9,условия!$9:$9,"&gt;="&amp;EC$9)/DAY(EOMONTH(EC$9,0)))*2*(EC$11+EC$59)-EB133))&lt;0,EB133+(EC$11+EC$59),IF((SUMIFS(условия!$192:$192,условия!$8:$8,"&lt;="&amp;EC$9,условия!$9:$9,"&gt;="&amp;EC$9)/DAY(EOMONTH(EC$9,0)))*2*(EC$11+EC$59)-EB133&lt;0,0,(SUMIFS(условия!$192:$192,условия!$8:$8,"&lt;="&amp;EC$9,условия!$9:$9,"&gt;="&amp;EC$9)/DAY(EOMONTH(EC$9,0)))*2*(EC$11+EC$59)-EB133))))</f>
        <v>0</v>
      </c>
      <c r="ED133" s="33">
        <f>IF(ED$9="",0,IF(OR(ED$9="",DAY(EOMONTH(ED$9,0))=0),0,IF(((ED$11+ED$59)-((SUMIFS(условия!$192:$192,условия!$8:$8,"&lt;="&amp;ED$9,условия!$9:$9,"&gt;="&amp;ED$9)/DAY(EOMONTH(ED$9,0)))*2*(ED$11+ED$59)-EC133))&lt;0,EC133+(ED$11+ED$59),IF((SUMIFS(условия!$192:$192,условия!$8:$8,"&lt;="&amp;ED$9,условия!$9:$9,"&gt;="&amp;ED$9)/DAY(EOMONTH(ED$9,0)))*2*(ED$11+ED$59)-EC133&lt;0,0,(SUMIFS(условия!$192:$192,условия!$8:$8,"&lt;="&amp;ED$9,условия!$9:$9,"&gt;="&amp;ED$9)/DAY(EOMONTH(ED$9,0)))*2*(ED$11+ED$59)-EC133))))</f>
        <v>0</v>
      </c>
      <c r="EE133" s="33">
        <f>IF(EE$9="",0,IF(OR(EE$9="",DAY(EOMONTH(EE$9,0))=0),0,IF(((EE$11+EE$59)-((SUMIFS(условия!$192:$192,условия!$8:$8,"&lt;="&amp;EE$9,условия!$9:$9,"&gt;="&amp;EE$9)/DAY(EOMONTH(EE$9,0)))*2*(EE$11+EE$59)-ED133))&lt;0,ED133+(EE$11+EE$59),IF((SUMIFS(условия!$192:$192,условия!$8:$8,"&lt;="&amp;EE$9,условия!$9:$9,"&gt;="&amp;EE$9)/DAY(EOMONTH(EE$9,0)))*2*(EE$11+EE$59)-ED133&lt;0,0,(SUMIFS(условия!$192:$192,условия!$8:$8,"&lt;="&amp;EE$9,условия!$9:$9,"&gt;="&amp;EE$9)/DAY(EOMONTH(EE$9,0)))*2*(EE$11+EE$59)-ED133))))</f>
        <v>0</v>
      </c>
      <c r="EF133" s="33">
        <f>IF(EF$9="",0,IF(OR(EF$9="",DAY(EOMONTH(EF$9,0))=0),0,IF(((EF$11+EF$59)-((SUMIFS(условия!$192:$192,условия!$8:$8,"&lt;="&amp;EF$9,условия!$9:$9,"&gt;="&amp;EF$9)/DAY(EOMONTH(EF$9,0)))*2*(EF$11+EF$59)-EE133))&lt;0,EE133+(EF$11+EF$59),IF((SUMIFS(условия!$192:$192,условия!$8:$8,"&lt;="&amp;EF$9,условия!$9:$9,"&gt;="&amp;EF$9)/DAY(EOMONTH(EF$9,0)))*2*(EF$11+EF$59)-EE133&lt;0,0,(SUMIFS(условия!$192:$192,условия!$8:$8,"&lt;="&amp;EF$9,условия!$9:$9,"&gt;="&amp;EF$9)/DAY(EOMONTH(EF$9,0)))*2*(EF$11+EF$59)-EE133))))</f>
        <v>0</v>
      </c>
      <c r="EG133" s="33">
        <f>IF(EG$9="",0,IF(OR(EG$9="",DAY(EOMONTH(EG$9,0))=0),0,IF(((EG$11+EG$59)-((SUMIFS(условия!$192:$192,условия!$8:$8,"&lt;="&amp;EG$9,условия!$9:$9,"&gt;="&amp;EG$9)/DAY(EOMONTH(EG$9,0)))*2*(EG$11+EG$59)-EF133))&lt;0,EF133+(EG$11+EG$59),IF((SUMIFS(условия!$192:$192,условия!$8:$8,"&lt;="&amp;EG$9,условия!$9:$9,"&gt;="&amp;EG$9)/DAY(EOMONTH(EG$9,0)))*2*(EG$11+EG$59)-EF133&lt;0,0,(SUMIFS(условия!$192:$192,условия!$8:$8,"&lt;="&amp;EG$9,условия!$9:$9,"&gt;="&amp;EG$9)/DAY(EOMONTH(EG$9,0)))*2*(EG$11+EG$59)-EF133))))</f>
        <v>0</v>
      </c>
      <c r="EH133" s="33">
        <f>IF(EH$9="",0,IF(OR(EH$9="",DAY(EOMONTH(EH$9,0))=0),0,IF(((EH$11+EH$59)-((SUMIFS(условия!$192:$192,условия!$8:$8,"&lt;="&amp;EH$9,условия!$9:$9,"&gt;="&amp;EH$9)/DAY(EOMONTH(EH$9,0)))*2*(EH$11+EH$59)-EG133))&lt;0,EG133+(EH$11+EH$59),IF((SUMIFS(условия!$192:$192,условия!$8:$8,"&lt;="&amp;EH$9,условия!$9:$9,"&gt;="&amp;EH$9)/DAY(EOMONTH(EH$9,0)))*2*(EH$11+EH$59)-EG133&lt;0,0,(SUMIFS(условия!$192:$192,условия!$8:$8,"&lt;="&amp;EH$9,условия!$9:$9,"&gt;="&amp;EH$9)/DAY(EOMONTH(EH$9,0)))*2*(EH$11+EH$59)-EG133))))</f>
        <v>0</v>
      </c>
      <c r="EI133" s="33">
        <f>IF(EI$9="",0,IF(OR(EI$9="",DAY(EOMONTH(EI$9,0))=0),0,IF(((EI$11+EI$59)-((SUMIFS(условия!$192:$192,условия!$8:$8,"&lt;="&amp;EI$9,условия!$9:$9,"&gt;="&amp;EI$9)/DAY(EOMONTH(EI$9,0)))*2*(EI$11+EI$59)-EH133))&lt;0,EH133+(EI$11+EI$59),IF((SUMIFS(условия!$192:$192,условия!$8:$8,"&lt;="&amp;EI$9,условия!$9:$9,"&gt;="&amp;EI$9)/DAY(EOMONTH(EI$9,0)))*2*(EI$11+EI$59)-EH133&lt;0,0,(SUMIFS(условия!$192:$192,условия!$8:$8,"&lt;="&amp;EI$9,условия!$9:$9,"&gt;="&amp;EI$9)/DAY(EOMONTH(EI$9,0)))*2*(EI$11+EI$59)-EH133))))</f>
        <v>0</v>
      </c>
      <c r="EJ133" s="3"/>
      <c r="EK133" s="3"/>
    </row>
    <row r="134" spans="1:14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2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</row>
    <row r="135" spans="1:141" x14ac:dyDescent="0.25">
      <c r="A135" s="3"/>
      <c r="B135" s="3"/>
      <c r="C135" s="3"/>
      <c r="D135" s="3"/>
      <c r="E135" s="3"/>
      <c r="F135" s="10" t="str">
        <f>KPI!$F$145</f>
        <v>Оплата подрядчикам по кап. затратам</v>
      </c>
      <c r="G135" s="3"/>
      <c r="H135" s="3"/>
      <c r="I135" s="3"/>
      <c r="J135" s="5" t="str">
        <f>IF($F135="","",INDEX(KPI!$I$11:$I$275,SUMIFS(KPI!$E$11:$E$275,KPI!$F$11:$F$275,$F135)))</f>
        <v>тыс.руб.</v>
      </c>
      <c r="K135" s="3"/>
      <c r="L135" s="3"/>
      <c r="M135" s="3"/>
      <c r="N135" s="3"/>
      <c r="O135" s="3"/>
      <c r="P135" s="3"/>
      <c r="Q135" s="12">
        <f>SUM(S135:EJ135)</f>
        <v>208696.64053424765</v>
      </c>
      <c r="R135" s="3"/>
      <c r="S135" s="55"/>
      <c r="T135" s="33">
        <f>S133+(T$11+T$59)-T133</f>
        <v>0</v>
      </c>
      <c r="U135" s="33">
        <f t="shared" ref="U135:CF135" si="53">T133+(U$11+U$59)-U133</f>
        <v>0</v>
      </c>
      <c r="V135" s="33">
        <f t="shared" si="53"/>
        <v>18629.032258064515</v>
      </c>
      <c r="W135" s="33">
        <f t="shared" si="53"/>
        <v>0</v>
      </c>
      <c r="X135" s="33">
        <f t="shared" si="53"/>
        <v>51370.967741935485</v>
      </c>
      <c r="Y135" s="33">
        <f t="shared" si="53"/>
        <v>0</v>
      </c>
      <c r="Z135" s="33">
        <f t="shared" si="53"/>
        <v>0</v>
      </c>
      <c r="AA135" s="33">
        <f t="shared" si="53"/>
        <v>0</v>
      </c>
      <c r="AB135" s="33">
        <f t="shared" si="53"/>
        <v>0</v>
      </c>
      <c r="AC135" s="33">
        <f t="shared" si="53"/>
        <v>0</v>
      </c>
      <c r="AD135" s="33">
        <f t="shared" si="53"/>
        <v>0</v>
      </c>
      <c r="AE135" s="33">
        <f t="shared" si="53"/>
        <v>0</v>
      </c>
      <c r="AF135" s="33">
        <f t="shared" si="53"/>
        <v>0</v>
      </c>
      <c r="AG135" s="33">
        <f t="shared" si="53"/>
        <v>0</v>
      </c>
      <c r="AH135" s="33">
        <f t="shared" si="53"/>
        <v>0</v>
      </c>
      <c r="AI135" s="33">
        <f t="shared" si="53"/>
        <v>0</v>
      </c>
      <c r="AJ135" s="33">
        <f t="shared" si="53"/>
        <v>0</v>
      </c>
      <c r="AK135" s="33">
        <f t="shared" si="53"/>
        <v>0</v>
      </c>
      <c r="AL135" s="33">
        <f t="shared" si="53"/>
        <v>0</v>
      </c>
      <c r="AM135" s="33">
        <f t="shared" si="53"/>
        <v>0</v>
      </c>
      <c r="AN135" s="33">
        <f t="shared" si="53"/>
        <v>0</v>
      </c>
      <c r="AO135" s="33">
        <f t="shared" si="53"/>
        <v>0</v>
      </c>
      <c r="AP135" s="33">
        <f t="shared" si="53"/>
        <v>0</v>
      </c>
      <c r="AQ135" s="33">
        <f t="shared" si="53"/>
        <v>0</v>
      </c>
      <c r="AR135" s="33">
        <f t="shared" si="53"/>
        <v>0</v>
      </c>
      <c r="AS135" s="33">
        <f t="shared" si="53"/>
        <v>0</v>
      </c>
      <c r="AT135" s="33">
        <f t="shared" si="53"/>
        <v>0</v>
      </c>
      <c r="AU135" s="33">
        <f t="shared" si="53"/>
        <v>0</v>
      </c>
      <c r="AV135" s="33">
        <f t="shared" si="53"/>
        <v>0</v>
      </c>
      <c r="AW135" s="33">
        <f t="shared" si="53"/>
        <v>0</v>
      </c>
      <c r="AX135" s="33">
        <f t="shared" si="53"/>
        <v>0</v>
      </c>
      <c r="AY135" s="33">
        <f t="shared" si="53"/>
        <v>0</v>
      </c>
      <c r="AZ135" s="33">
        <f t="shared" si="53"/>
        <v>0</v>
      </c>
      <c r="BA135" s="33">
        <f t="shared" si="53"/>
        <v>0</v>
      </c>
      <c r="BB135" s="33">
        <f t="shared" si="53"/>
        <v>0</v>
      </c>
      <c r="BC135" s="33">
        <f t="shared" si="53"/>
        <v>0</v>
      </c>
      <c r="BD135" s="33">
        <f t="shared" si="53"/>
        <v>0</v>
      </c>
      <c r="BE135" s="33">
        <f t="shared" si="53"/>
        <v>0</v>
      </c>
      <c r="BF135" s="33">
        <f t="shared" si="53"/>
        <v>0</v>
      </c>
      <c r="BG135" s="33">
        <f t="shared" si="53"/>
        <v>0</v>
      </c>
      <c r="BH135" s="33">
        <f t="shared" si="53"/>
        <v>0</v>
      </c>
      <c r="BI135" s="33">
        <f t="shared" si="53"/>
        <v>0</v>
      </c>
      <c r="BJ135" s="33">
        <f t="shared" si="53"/>
        <v>0</v>
      </c>
      <c r="BK135" s="33">
        <f t="shared" si="53"/>
        <v>0</v>
      </c>
      <c r="BL135" s="33">
        <f t="shared" si="53"/>
        <v>0</v>
      </c>
      <c r="BM135" s="33">
        <f t="shared" si="53"/>
        <v>0</v>
      </c>
      <c r="BN135" s="33">
        <f t="shared" si="53"/>
        <v>0</v>
      </c>
      <c r="BO135" s="33">
        <f t="shared" si="53"/>
        <v>0</v>
      </c>
      <c r="BP135" s="33">
        <f t="shared" si="53"/>
        <v>0</v>
      </c>
      <c r="BQ135" s="33">
        <f t="shared" si="53"/>
        <v>0</v>
      </c>
      <c r="BR135" s="33">
        <f t="shared" si="53"/>
        <v>0</v>
      </c>
      <c r="BS135" s="33">
        <f t="shared" si="53"/>
        <v>0</v>
      </c>
      <c r="BT135" s="33">
        <f t="shared" si="53"/>
        <v>0</v>
      </c>
      <c r="BU135" s="33">
        <f t="shared" si="53"/>
        <v>0</v>
      </c>
      <c r="BV135" s="33">
        <f t="shared" si="53"/>
        <v>0</v>
      </c>
      <c r="BW135" s="33">
        <f t="shared" si="53"/>
        <v>16933.45324887097</v>
      </c>
      <c r="BX135" s="33">
        <f t="shared" si="53"/>
        <v>0</v>
      </c>
      <c r="BY135" s="33">
        <f t="shared" si="53"/>
        <v>46695.280171129052</v>
      </c>
      <c r="BZ135" s="33">
        <f t="shared" si="53"/>
        <v>0</v>
      </c>
      <c r="CA135" s="33">
        <f t="shared" si="53"/>
        <v>0</v>
      </c>
      <c r="CB135" s="33">
        <f t="shared" si="53"/>
        <v>0</v>
      </c>
      <c r="CC135" s="33">
        <f t="shared" si="53"/>
        <v>0</v>
      </c>
      <c r="CD135" s="33">
        <f t="shared" si="53"/>
        <v>0</v>
      </c>
      <c r="CE135" s="33">
        <f t="shared" si="53"/>
        <v>0</v>
      </c>
      <c r="CF135" s="33">
        <f t="shared" si="53"/>
        <v>0</v>
      </c>
      <c r="CG135" s="33">
        <f t="shared" ref="CG135:EI135" si="54">CF133+(CG$11+CG$59)-CG133</f>
        <v>0</v>
      </c>
      <c r="CH135" s="33">
        <f t="shared" si="54"/>
        <v>0</v>
      </c>
      <c r="CI135" s="33">
        <f t="shared" si="54"/>
        <v>0</v>
      </c>
      <c r="CJ135" s="33">
        <f t="shared" si="54"/>
        <v>0</v>
      </c>
      <c r="CK135" s="33">
        <f t="shared" si="54"/>
        <v>0</v>
      </c>
      <c r="CL135" s="33">
        <f t="shared" si="54"/>
        <v>0</v>
      </c>
      <c r="CM135" s="33">
        <f t="shared" si="54"/>
        <v>0</v>
      </c>
      <c r="CN135" s="33">
        <f t="shared" si="54"/>
        <v>0</v>
      </c>
      <c r="CO135" s="33">
        <f t="shared" si="54"/>
        <v>0</v>
      </c>
      <c r="CP135" s="33">
        <f t="shared" si="54"/>
        <v>0</v>
      </c>
      <c r="CQ135" s="33">
        <f t="shared" si="54"/>
        <v>0</v>
      </c>
      <c r="CR135" s="33">
        <f t="shared" si="54"/>
        <v>0</v>
      </c>
      <c r="CS135" s="33">
        <f t="shared" si="54"/>
        <v>0</v>
      </c>
      <c r="CT135" s="33">
        <f t="shared" si="54"/>
        <v>0</v>
      </c>
      <c r="CU135" s="33">
        <f t="shared" si="54"/>
        <v>0</v>
      </c>
      <c r="CV135" s="33">
        <f t="shared" si="54"/>
        <v>0</v>
      </c>
      <c r="CW135" s="33">
        <f t="shared" si="54"/>
        <v>0</v>
      </c>
      <c r="CX135" s="33">
        <f t="shared" si="54"/>
        <v>0</v>
      </c>
      <c r="CY135" s="33">
        <f t="shared" si="54"/>
        <v>0</v>
      </c>
      <c r="CZ135" s="33">
        <f t="shared" si="54"/>
        <v>0</v>
      </c>
      <c r="DA135" s="33">
        <f t="shared" si="54"/>
        <v>0</v>
      </c>
      <c r="DB135" s="33">
        <f t="shared" si="54"/>
        <v>0</v>
      </c>
      <c r="DC135" s="33">
        <f t="shared" si="54"/>
        <v>0</v>
      </c>
      <c r="DD135" s="33">
        <f t="shared" si="54"/>
        <v>0</v>
      </c>
      <c r="DE135" s="33">
        <f t="shared" si="54"/>
        <v>0</v>
      </c>
      <c r="DF135" s="33">
        <f t="shared" si="54"/>
        <v>0</v>
      </c>
      <c r="DG135" s="33">
        <f t="shared" si="54"/>
        <v>0</v>
      </c>
      <c r="DH135" s="33">
        <f t="shared" si="54"/>
        <v>18766.976778561908</v>
      </c>
      <c r="DI135" s="33">
        <f t="shared" si="54"/>
        <v>19977.749473952998</v>
      </c>
      <c r="DJ135" s="33">
        <f t="shared" si="54"/>
        <v>0</v>
      </c>
      <c r="DK135" s="33">
        <f t="shared" si="54"/>
        <v>36323.180861732726</v>
      </c>
      <c r="DL135" s="33">
        <f t="shared" si="54"/>
        <v>0</v>
      </c>
      <c r="DM135" s="33">
        <f t="shared" si="54"/>
        <v>0</v>
      </c>
      <c r="DN135" s="33">
        <f t="shared" si="54"/>
        <v>0</v>
      </c>
      <c r="DO135" s="33">
        <f t="shared" si="54"/>
        <v>0</v>
      </c>
      <c r="DP135" s="33">
        <f t="shared" si="54"/>
        <v>0</v>
      </c>
      <c r="DQ135" s="33">
        <f t="shared" si="54"/>
        <v>0</v>
      </c>
      <c r="DR135" s="33">
        <f t="shared" si="54"/>
        <v>0</v>
      </c>
      <c r="DS135" s="33">
        <f t="shared" si="54"/>
        <v>0</v>
      </c>
      <c r="DT135" s="33">
        <f t="shared" si="54"/>
        <v>0</v>
      </c>
      <c r="DU135" s="33">
        <f t="shared" si="54"/>
        <v>0</v>
      </c>
      <c r="DV135" s="33">
        <f t="shared" si="54"/>
        <v>0</v>
      </c>
      <c r="DW135" s="33">
        <f t="shared" si="54"/>
        <v>0</v>
      </c>
      <c r="DX135" s="33">
        <f t="shared" si="54"/>
        <v>0</v>
      </c>
      <c r="DY135" s="33">
        <f t="shared" si="54"/>
        <v>0</v>
      </c>
      <c r="DZ135" s="33">
        <f t="shared" si="54"/>
        <v>0</v>
      </c>
      <c r="EA135" s="33">
        <f t="shared" si="54"/>
        <v>0</v>
      </c>
      <c r="EB135" s="33">
        <f t="shared" si="54"/>
        <v>0</v>
      </c>
      <c r="EC135" s="33">
        <f t="shared" si="54"/>
        <v>0</v>
      </c>
      <c r="ED135" s="33">
        <f t="shared" si="54"/>
        <v>0</v>
      </c>
      <c r="EE135" s="33">
        <f t="shared" si="54"/>
        <v>0</v>
      </c>
      <c r="EF135" s="33">
        <f t="shared" si="54"/>
        <v>0</v>
      </c>
      <c r="EG135" s="33">
        <f t="shared" si="54"/>
        <v>0</v>
      </c>
      <c r="EH135" s="33">
        <f t="shared" si="54"/>
        <v>0</v>
      </c>
      <c r="EI135" s="33">
        <f t="shared" si="54"/>
        <v>0</v>
      </c>
      <c r="EJ135" s="3"/>
      <c r="EK135" s="3"/>
    </row>
    <row r="136" spans="1:14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</row>
    <row r="137" spans="1:141" x14ac:dyDescent="0.25">
      <c r="A137" s="3"/>
      <c r="B137" s="3"/>
      <c r="C137" s="3"/>
      <c r="D137" s="3"/>
      <c r="E137" s="3"/>
      <c r="F137" s="10" t="str">
        <f>KPI!$F$146</f>
        <v>Инвестиционные вложения</v>
      </c>
      <c r="G137" s="3"/>
      <c r="H137" s="3"/>
      <c r="I137" s="3"/>
      <c r="J137" s="5" t="str">
        <f>IF($F137="","",INDEX(KPI!$I$11:$I$275,SUMIFS(KPI!$E$11:$E$275,KPI!$F$11:$F$275,$F137)))</f>
        <v>тыс.руб.</v>
      </c>
      <c r="K137" s="3"/>
      <c r="L137" s="3"/>
      <c r="M137" s="3"/>
      <c r="N137" s="3"/>
      <c r="O137" s="3"/>
      <c r="P137" s="3"/>
      <c r="Q137" s="12">
        <f>SUM(S137:EJ137)</f>
        <v>208696.64053424765</v>
      </c>
      <c r="R137" s="3"/>
      <c r="S137" s="55"/>
      <c r="T137" s="33">
        <f>T135</f>
        <v>0</v>
      </c>
      <c r="U137" s="33">
        <f t="shared" ref="U137:CF137" si="55">U135</f>
        <v>0</v>
      </c>
      <c r="V137" s="33">
        <f>V135</f>
        <v>18629.032258064515</v>
      </c>
      <c r="W137" s="33">
        <f t="shared" si="55"/>
        <v>0</v>
      </c>
      <c r="X137" s="33">
        <f t="shared" si="55"/>
        <v>51370.967741935485</v>
      </c>
      <c r="Y137" s="33">
        <f t="shared" si="55"/>
        <v>0</v>
      </c>
      <c r="Z137" s="33">
        <f t="shared" si="55"/>
        <v>0</v>
      </c>
      <c r="AA137" s="33">
        <f t="shared" si="55"/>
        <v>0</v>
      </c>
      <c r="AB137" s="33">
        <f t="shared" si="55"/>
        <v>0</v>
      </c>
      <c r="AC137" s="33">
        <f t="shared" si="55"/>
        <v>0</v>
      </c>
      <c r="AD137" s="33">
        <f t="shared" si="55"/>
        <v>0</v>
      </c>
      <c r="AE137" s="33">
        <f t="shared" si="55"/>
        <v>0</v>
      </c>
      <c r="AF137" s="33">
        <f t="shared" si="55"/>
        <v>0</v>
      </c>
      <c r="AG137" s="33">
        <f t="shared" si="55"/>
        <v>0</v>
      </c>
      <c r="AH137" s="33">
        <f t="shared" si="55"/>
        <v>0</v>
      </c>
      <c r="AI137" s="33">
        <f t="shared" si="55"/>
        <v>0</v>
      </c>
      <c r="AJ137" s="33">
        <f t="shared" si="55"/>
        <v>0</v>
      </c>
      <c r="AK137" s="33">
        <f t="shared" si="55"/>
        <v>0</v>
      </c>
      <c r="AL137" s="33">
        <f t="shared" si="55"/>
        <v>0</v>
      </c>
      <c r="AM137" s="33">
        <f t="shared" si="55"/>
        <v>0</v>
      </c>
      <c r="AN137" s="33">
        <f t="shared" si="55"/>
        <v>0</v>
      </c>
      <c r="AO137" s="33">
        <f t="shared" si="55"/>
        <v>0</v>
      </c>
      <c r="AP137" s="33">
        <f t="shared" si="55"/>
        <v>0</v>
      </c>
      <c r="AQ137" s="33">
        <f t="shared" si="55"/>
        <v>0</v>
      </c>
      <c r="AR137" s="33">
        <f t="shared" si="55"/>
        <v>0</v>
      </c>
      <c r="AS137" s="33">
        <f t="shared" si="55"/>
        <v>0</v>
      </c>
      <c r="AT137" s="33">
        <f t="shared" si="55"/>
        <v>0</v>
      </c>
      <c r="AU137" s="33">
        <f t="shared" si="55"/>
        <v>0</v>
      </c>
      <c r="AV137" s="33">
        <f t="shared" si="55"/>
        <v>0</v>
      </c>
      <c r="AW137" s="33">
        <f t="shared" si="55"/>
        <v>0</v>
      </c>
      <c r="AX137" s="33">
        <f t="shared" si="55"/>
        <v>0</v>
      </c>
      <c r="AY137" s="33">
        <f t="shared" si="55"/>
        <v>0</v>
      </c>
      <c r="AZ137" s="33">
        <f t="shared" si="55"/>
        <v>0</v>
      </c>
      <c r="BA137" s="33">
        <f t="shared" si="55"/>
        <v>0</v>
      </c>
      <c r="BB137" s="33">
        <f t="shared" si="55"/>
        <v>0</v>
      </c>
      <c r="BC137" s="33">
        <f t="shared" si="55"/>
        <v>0</v>
      </c>
      <c r="BD137" s="33">
        <f t="shared" si="55"/>
        <v>0</v>
      </c>
      <c r="BE137" s="33">
        <f t="shared" si="55"/>
        <v>0</v>
      </c>
      <c r="BF137" s="33">
        <f t="shared" si="55"/>
        <v>0</v>
      </c>
      <c r="BG137" s="33">
        <f t="shared" si="55"/>
        <v>0</v>
      </c>
      <c r="BH137" s="33">
        <f t="shared" si="55"/>
        <v>0</v>
      </c>
      <c r="BI137" s="33">
        <f t="shared" si="55"/>
        <v>0</v>
      </c>
      <c r="BJ137" s="33">
        <f t="shared" si="55"/>
        <v>0</v>
      </c>
      <c r="BK137" s="33">
        <f t="shared" si="55"/>
        <v>0</v>
      </c>
      <c r="BL137" s="33">
        <f t="shared" si="55"/>
        <v>0</v>
      </c>
      <c r="BM137" s="33">
        <f t="shared" si="55"/>
        <v>0</v>
      </c>
      <c r="BN137" s="33">
        <f t="shared" si="55"/>
        <v>0</v>
      </c>
      <c r="BO137" s="33">
        <f t="shared" si="55"/>
        <v>0</v>
      </c>
      <c r="BP137" s="33">
        <f t="shared" si="55"/>
        <v>0</v>
      </c>
      <c r="BQ137" s="33">
        <f t="shared" si="55"/>
        <v>0</v>
      </c>
      <c r="BR137" s="33">
        <f t="shared" si="55"/>
        <v>0</v>
      </c>
      <c r="BS137" s="33">
        <f t="shared" si="55"/>
        <v>0</v>
      </c>
      <c r="BT137" s="33">
        <f t="shared" si="55"/>
        <v>0</v>
      </c>
      <c r="BU137" s="33">
        <f t="shared" si="55"/>
        <v>0</v>
      </c>
      <c r="BV137" s="33">
        <f t="shared" si="55"/>
        <v>0</v>
      </c>
      <c r="BW137" s="33">
        <f t="shared" si="55"/>
        <v>16933.45324887097</v>
      </c>
      <c r="BX137" s="33">
        <f t="shared" si="55"/>
        <v>0</v>
      </c>
      <c r="BY137" s="33">
        <f t="shared" si="55"/>
        <v>46695.280171129052</v>
      </c>
      <c r="BZ137" s="33">
        <f t="shared" si="55"/>
        <v>0</v>
      </c>
      <c r="CA137" s="33">
        <f t="shared" si="55"/>
        <v>0</v>
      </c>
      <c r="CB137" s="33">
        <f t="shared" si="55"/>
        <v>0</v>
      </c>
      <c r="CC137" s="33">
        <f t="shared" si="55"/>
        <v>0</v>
      </c>
      <c r="CD137" s="33">
        <f t="shared" si="55"/>
        <v>0</v>
      </c>
      <c r="CE137" s="33">
        <f t="shared" si="55"/>
        <v>0</v>
      </c>
      <c r="CF137" s="33">
        <f t="shared" si="55"/>
        <v>0</v>
      </c>
      <c r="CG137" s="33">
        <f t="shared" ref="CG137:EI137" si="56">CG135</f>
        <v>0</v>
      </c>
      <c r="CH137" s="33">
        <f t="shared" si="56"/>
        <v>0</v>
      </c>
      <c r="CI137" s="33">
        <f t="shared" si="56"/>
        <v>0</v>
      </c>
      <c r="CJ137" s="33">
        <f t="shared" si="56"/>
        <v>0</v>
      </c>
      <c r="CK137" s="33">
        <f t="shared" si="56"/>
        <v>0</v>
      </c>
      <c r="CL137" s="33">
        <f t="shared" si="56"/>
        <v>0</v>
      </c>
      <c r="CM137" s="33">
        <f t="shared" si="56"/>
        <v>0</v>
      </c>
      <c r="CN137" s="33">
        <f t="shared" si="56"/>
        <v>0</v>
      </c>
      <c r="CO137" s="33">
        <f t="shared" si="56"/>
        <v>0</v>
      </c>
      <c r="CP137" s="33">
        <f t="shared" si="56"/>
        <v>0</v>
      </c>
      <c r="CQ137" s="33">
        <f t="shared" si="56"/>
        <v>0</v>
      </c>
      <c r="CR137" s="33">
        <f t="shared" si="56"/>
        <v>0</v>
      </c>
      <c r="CS137" s="33">
        <f t="shared" si="56"/>
        <v>0</v>
      </c>
      <c r="CT137" s="33">
        <f t="shared" si="56"/>
        <v>0</v>
      </c>
      <c r="CU137" s="33">
        <f t="shared" si="56"/>
        <v>0</v>
      </c>
      <c r="CV137" s="33">
        <f t="shared" si="56"/>
        <v>0</v>
      </c>
      <c r="CW137" s="33">
        <f t="shared" si="56"/>
        <v>0</v>
      </c>
      <c r="CX137" s="33">
        <f t="shared" si="56"/>
        <v>0</v>
      </c>
      <c r="CY137" s="33">
        <f t="shared" si="56"/>
        <v>0</v>
      </c>
      <c r="CZ137" s="33">
        <f t="shared" si="56"/>
        <v>0</v>
      </c>
      <c r="DA137" s="33">
        <f t="shared" si="56"/>
        <v>0</v>
      </c>
      <c r="DB137" s="33">
        <f t="shared" si="56"/>
        <v>0</v>
      </c>
      <c r="DC137" s="33">
        <f t="shared" si="56"/>
        <v>0</v>
      </c>
      <c r="DD137" s="33">
        <f t="shared" si="56"/>
        <v>0</v>
      </c>
      <c r="DE137" s="33">
        <f t="shared" si="56"/>
        <v>0</v>
      </c>
      <c r="DF137" s="33">
        <f t="shared" si="56"/>
        <v>0</v>
      </c>
      <c r="DG137" s="33">
        <f t="shared" si="56"/>
        <v>0</v>
      </c>
      <c r="DH137" s="33">
        <f t="shared" si="56"/>
        <v>18766.976778561908</v>
      </c>
      <c r="DI137" s="33">
        <f t="shared" si="56"/>
        <v>19977.749473952998</v>
      </c>
      <c r="DJ137" s="33">
        <f t="shared" si="56"/>
        <v>0</v>
      </c>
      <c r="DK137" s="33">
        <f t="shared" si="56"/>
        <v>36323.180861732726</v>
      </c>
      <c r="DL137" s="33">
        <f t="shared" si="56"/>
        <v>0</v>
      </c>
      <c r="DM137" s="33">
        <f t="shared" si="56"/>
        <v>0</v>
      </c>
      <c r="DN137" s="33">
        <f t="shared" si="56"/>
        <v>0</v>
      </c>
      <c r="DO137" s="33">
        <f t="shared" si="56"/>
        <v>0</v>
      </c>
      <c r="DP137" s="33">
        <f t="shared" si="56"/>
        <v>0</v>
      </c>
      <c r="DQ137" s="33">
        <f t="shared" si="56"/>
        <v>0</v>
      </c>
      <c r="DR137" s="33">
        <f t="shared" si="56"/>
        <v>0</v>
      </c>
      <c r="DS137" s="33">
        <f t="shared" si="56"/>
        <v>0</v>
      </c>
      <c r="DT137" s="33">
        <f t="shared" si="56"/>
        <v>0</v>
      </c>
      <c r="DU137" s="33">
        <f t="shared" si="56"/>
        <v>0</v>
      </c>
      <c r="DV137" s="33">
        <f t="shared" si="56"/>
        <v>0</v>
      </c>
      <c r="DW137" s="33">
        <f t="shared" si="56"/>
        <v>0</v>
      </c>
      <c r="DX137" s="33">
        <f t="shared" si="56"/>
        <v>0</v>
      </c>
      <c r="DY137" s="33">
        <f t="shared" si="56"/>
        <v>0</v>
      </c>
      <c r="DZ137" s="33">
        <f t="shared" si="56"/>
        <v>0</v>
      </c>
      <c r="EA137" s="33">
        <f t="shared" si="56"/>
        <v>0</v>
      </c>
      <c r="EB137" s="33">
        <f t="shared" si="56"/>
        <v>0</v>
      </c>
      <c r="EC137" s="33">
        <f t="shared" si="56"/>
        <v>0</v>
      </c>
      <c r="ED137" s="33">
        <f t="shared" si="56"/>
        <v>0</v>
      </c>
      <c r="EE137" s="33">
        <f t="shared" si="56"/>
        <v>0</v>
      </c>
      <c r="EF137" s="33">
        <f t="shared" si="56"/>
        <v>0</v>
      </c>
      <c r="EG137" s="33">
        <f t="shared" si="56"/>
        <v>0</v>
      </c>
      <c r="EH137" s="33">
        <f t="shared" si="56"/>
        <v>0</v>
      </c>
      <c r="EI137" s="33">
        <f t="shared" si="56"/>
        <v>0</v>
      </c>
      <c r="EJ137" s="3"/>
      <c r="EK137" s="3"/>
    </row>
    <row r="138" spans="1:14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2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</row>
    <row r="139" spans="1:141" x14ac:dyDescent="0.25">
      <c r="A139" s="3"/>
      <c r="B139" s="3"/>
      <c r="C139" s="3"/>
      <c r="D139" s="3"/>
      <c r="E139" s="3"/>
      <c r="F139" s="10" t="str">
        <f>KPI!$F$147</f>
        <v>Долгосрочная кред. задолж-ть по возврату инвестиций на конец периода</v>
      </c>
      <c r="G139" s="3"/>
      <c r="H139" s="3"/>
      <c r="I139" s="3"/>
      <c r="J139" s="5" t="str">
        <f>IF($F139="","",INDEX(KPI!$I$11:$I$275,SUMIFS(KPI!$E$11:$E$275,KPI!$F$11:$F$275,$F139)))</f>
        <v>тыс.руб.</v>
      </c>
      <c r="K139" s="3"/>
      <c r="L139" s="3"/>
      <c r="M139" s="3"/>
      <c r="N139" s="3"/>
      <c r="O139" s="3"/>
      <c r="P139" s="3"/>
      <c r="Q139" s="12"/>
      <c r="R139" s="3"/>
      <c r="S139" s="55"/>
      <c r="T139" s="33">
        <f>SUM($S$137:T137)</f>
        <v>0</v>
      </c>
      <c r="U139" s="33">
        <f>SUM($S$137:U137)</f>
        <v>0</v>
      </c>
      <c r="V139" s="33">
        <f>SUM($S$137:V137)</f>
        <v>18629.032258064515</v>
      </c>
      <c r="W139" s="33">
        <f>SUM($S$137:W137)</f>
        <v>18629.032258064515</v>
      </c>
      <c r="X139" s="33">
        <f>SUM($S$137:X137)</f>
        <v>70000</v>
      </c>
      <c r="Y139" s="33">
        <f>SUM($S$137:Y137)</f>
        <v>70000</v>
      </c>
      <c r="Z139" s="33">
        <f>SUM($S$137:Z137)</f>
        <v>70000</v>
      </c>
      <c r="AA139" s="33">
        <f>SUM($S$137:AA137)</f>
        <v>70000</v>
      </c>
      <c r="AB139" s="33">
        <f>SUM($S$137:AB137)</f>
        <v>70000</v>
      </c>
      <c r="AC139" s="33">
        <f>SUM($S$137:AC137)</f>
        <v>70000</v>
      </c>
      <c r="AD139" s="33">
        <f>SUM($S$137:AD137)</f>
        <v>70000</v>
      </c>
      <c r="AE139" s="33">
        <f>SUM($S$137:AE137)</f>
        <v>70000</v>
      </c>
      <c r="AF139" s="33">
        <f>SUM($S$137:AF137)</f>
        <v>70000</v>
      </c>
      <c r="AG139" s="33">
        <f>SUM($S$137:AG137)</f>
        <v>70000</v>
      </c>
      <c r="AH139" s="33">
        <f>SUM($S$137:AH137)</f>
        <v>70000</v>
      </c>
      <c r="AI139" s="33">
        <f>SUM($S$137:AI137)</f>
        <v>70000</v>
      </c>
      <c r="AJ139" s="33">
        <f>SUM($S$137:AJ137)</f>
        <v>70000</v>
      </c>
      <c r="AK139" s="33">
        <f>SUM($S$137:AK137)</f>
        <v>70000</v>
      </c>
      <c r="AL139" s="33">
        <f>SUM($S$137:AL137)</f>
        <v>70000</v>
      </c>
      <c r="AM139" s="33">
        <f>SUM($S$137:AM137)</f>
        <v>70000</v>
      </c>
      <c r="AN139" s="33">
        <f>SUM($S$137:AN137)</f>
        <v>70000</v>
      </c>
      <c r="AO139" s="33">
        <f>SUM($S$137:AO137)</f>
        <v>70000</v>
      </c>
      <c r="AP139" s="33">
        <f>SUM($S$137:AP137)</f>
        <v>70000</v>
      </c>
      <c r="AQ139" s="33">
        <f>SUM($S$137:AQ137)</f>
        <v>70000</v>
      </c>
      <c r="AR139" s="33">
        <f>SUM($S$137:AR137)</f>
        <v>70000</v>
      </c>
      <c r="AS139" s="33">
        <f>SUM($S$137:AS137)</f>
        <v>70000</v>
      </c>
      <c r="AT139" s="33">
        <f>SUM($S$137:AT137)</f>
        <v>70000</v>
      </c>
      <c r="AU139" s="33">
        <f>SUM($S$137:AU137)</f>
        <v>70000</v>
      </c>
      <c r="AV139" s="33">
        <f>SUM($S$137:AV137)</f>
        <v>70000</v>
      </c>
      <c r="AW139" s="33">
        <f>SUM($S$137:AW137)</f>
        <v>70000</v>
      </c>
      <c r="AX139" s="33">
        <f>SUM($S$137:AX137)</f>
        <v>70000</v>
      </c>
      <c r="AY139" s="33">
        <f>SUM($S$137:AY137)</f>
        <v>70000</v>
      </c>
      <c r="AZ139" s="33">
        <f>SUM($S$137:AZ137)</f>
        <v>70000</v>
      </c>
      <c r="BA139" s="33">
        <f>SUM($S$137:BA137)</f>
        <v>70000</v>
      </c>
      <c r="BB139" s="33">
        <f>SUM($S$137:BB137)</f>
        <v>70000</v>
      </c>
      <c r="BC139" s="33">
        <f>SUM($S$137:BC137)</f>
        <v>70000</v>
      </c>
      <c r="BD139" s="33">
        <f>SUM($S$137:BD137)</f>
        <v>70000</v>
      </c>
      <c r="BE139" s="33">
        <f>SUM($S$137:BE137)</f>
        <v>70000</v>
      </c>
      <c r="BF139" s="33">
        <f>SUM($S$137:BF137)</f>
        <v>70000</v>
      </c>
      <c r="BG139" s="33">
        <f>SUM($S$137:BG137)</f>
        <v>70000</v>
      </c>
      <c r="BH139" s="33">
        <f>SUM($S$137:BH137)</f>
        <v>70000</v>
      </c>
      <c r="BI139" s="33">
        <f>SUM($S$137:BI137)</f>
        <v>70000</v>
      </c>
      <c r="BJ139" s="33">
        <f>SUM($S$137:BJ137)</f>
        <v>70000</v>
      </c>
      <c r="BK139" s="33">
        <f>SUM($S$137:BK137)</f>
        <v>70000</v>
      </c>
      <c r="BL139" s="33">
        <f>SUM($S$137:BL137)</f>
        <v>70000</v>
      </c>
      <c r="BM139" s="33">
        <f>SUM($S$137:BM137)</f>
        <v>70000</v>
      </c>
      <c r="BN139" s="33">
        <f>SUM($S$137:BN137)</f>
        <v>70000</v>
      </c>
      <c r="BO139" s="33">
        <f>SUM($S$137:BO137)</f>
        <v>70000</v>
      </c>
      <c r="BP139" s="33">
        <f>SUM($S$137:BP137)</f>
        <v>70000</v>
      </c>
      <c r="BQ139" s="33">
        <f>SUM($S$137:BQ137)</f>
        <v>70000</v>
      </c>
      <c r="BR139" s="33">
        <f>SUM($S$137:BR137)</f>
        <v>70000</v>
      </c>
      <c r="BS139" s="33">
        <f>SUM($S$137:BS137)</f>
        <v>70000</v>
      </c>
      <c r="BT139" s="33">
        <f>SUM($S$137:BT137)</f>
        <v>70000</v>
      </c>
      <c r="BU139" s="33">
        <f>SUM($S$137:BU137)</f>
        <v>70000</v>
      </c>
      <c r="BV139" s="33">
        <f>SUM($S$137:BV137)</f>
        <v>70000</v>
      </c>
      <c r="BW139" s="33">
        <f>SUM($S$137:BW137)</f>
        <v>86933.453248870966</v>
      </c>
      <c r="BX139" s="33">
        <f>SUM($S$137:BX137)</f>
        <v>86933.453248870966</v>
      </c>
      <c r="BY139" s="33">
        <f>SUM($S$137:BY137)</f>
        <v>133628.73342</v>
      </c>
      <c r="BZ139" s="33">
        <f>SUM($S$137:BZ137)</f>
        <v>133628.73342</v>
      </c>
      <c r="CA139" s="33">
        <f>SUM($S$137:CA137)</f>
        <v>133628.73342</v>
      </c>
      <c r="CB139" s="33">
        <f>SUM($S$137:CB137)</f>
        <v>133628.73342</v>
      </c>
      <c r="CC139" s="33">
        <f>SUM($S$137:CC137)</f>
        <v>133628.73342</v>
      </c>
      <c r="CD139" s="33">
        <f>SUM($S$137:CD137)</f>
        <v>133628.73342</v>
      </c>
      <c r="CE139" s="33">
        <f>SUM($S$137:CE137)</f>
        <v>133628.73342</v>
      </c>
      <c r="CF139" s="33">
        <f>SUM($S$137:CF137)</f>
        <v>133628.73342</v>
      </c>
      <c r="CG139" s="33">
        <f>SUM($S$137:CG137)</f>
        <v>133628.73342</v>
      </c>
      <c r="CH139" s="33">
        <f>SUM($S$137:CH137)</f>
        <v>133628.73342</v>
      </c>
      <c r="CI139" s="33">
        <f>SUM($S$137:CI137)</f>
        <v>133628.73342</v>
      </c>
      <c r="CJ139" s="33">
        <f>SUM($S$137:CJ137)</f>
        <v>133628.73342</v>
      </c>
      <c r="CK139" s="33">
        <f>SUM($S$137:CK137)</f>
        <v>133628.73342</v>
      </c>
      <c r="CL139" s="33">
        <f>SUM($S$137:CL137)</f>
        <v>133628.73342</v>
      </c>
      <c r="CM139" s="33">
        <f>SUM($S$137:CM137)</f>
        <v>133628.73342</v>
      </c>
      <c r="CN139" s="33">
        <f>SUM($S$137:CN137)</f>
        <v>133628.73342</v>
      </c>
      <c r="CO139" s="33">
        <f>SUM($S$137:CO137)</f>
        <v>133628.73342</v>
      </c>
      <c r="CP139" s="33">
        <f>SUM($S$137:CP137)</f>
        <v>133628.73342</v>
      </c>
      <c r="CQ139" s="33">
        <f>SUM($S$137:CQ137)</f>
        <v>133628.73342</v>
      </c>
      <c r="CR139" s="33">
        <f>SUM($S$137:CR137)</f>
        <v>133628.73342</v>
      </c>
      <c r="CS139" s="33">
        <f>SUM($S$137:CS137)</f>
        <v>133628.73342</v>
      </c>
      <c r="CT139" s="33">
        <f>SUM($S$137:CT137)</f>
        <v>133628.73342</v>
      </c>
      <c r="CU139" s="33">
        <f>SUM($S$137:CU137)</f>
        <v>133628.73342</v>
      </c>
      <c r="CV139" s="33">
        <f>SUM($S$137:CV137)</f>
        <v>133628.73342</v>
      </c>
      <c r="CW139" s="33">
        <f>SUM($S$137:CW137)</f>
        <v>133628.73342</v>
      </c>
      <c r="CX139" s="33">
        <f>SUM($S$137:CX137)</f>
        <v>133628.73342</v>
      </c>
      <c r="CY139" s="33">
        <f>SUM($S$137:CY137)</f>
        <v>133628.73342</v>
      </c>
      <c r="CZ139" s="33">
        <f>SUM($S$137:CZ137)</f>
        <v>133628.73342</v>
      </c>
      <c r="DA139" s="33">
        <f>SUM($S$137:DA137)</f>
        <v>133628.73342</v>
      </c>
      <c r="DB139" s="33">
        <f>SUM($S$137:DB137)</f>
        <v>133628.73342</v>
      </c>
      <c r="DC139" s="33">
        <f>SUM($S$137:DC137)</f>
        <v>133628.73342</v>
      </c>
      <c r="DD139" s="33">
        <f>SUM($S$137:DD137)</f>
        <v>133628.73342</v>
      </c>
      <c r="DE139" s="33">
        <f>SUM($S$137:DE137)</f>
        <v>133628.73342</v>
      </c>
      <c r="DF139" s="33">
        <f>SUM($S$137:DF137)</f>
        <v>133628.73342</v>
      </c>
      <c r="DG139" s="33">
        <f>SUM($S$137:DG137)</f>
        <v>133628.73342</v>
      </c>
      <c r="DH139" s="33">
        <f>SUM($S$137:DH137)</f>
        <v>152395.71019856192</v>
      </c>
      <c r="DI139" s="33">
        <f>SUM($S$137:DI137)</f>
        <v>172373.45967251493</v>
      </c>
      <c r="DJ139" s="33">
        <f>SUM($S$137:DJ137)</f>
        <v>172373.45967251493</v>
      </c>
      <c r="DK139" s="33">
        <f>SUM($S$137:DK137)</f>
        <v>208696.64053424765</v>
      </c>
      <c r="DL139" s="33">
        <f>SUM($S$137:DL137)</f>
        <v>208696.64053424765</v>
      </c>
      <c r="DM139" s="33">
        <f>SUM($S$137:DM137)</f>
        <v>208696.64053424765</v>
      </c>
      <c r="DN139" s="33">
        <f>SUM($S$137:DN137)</f>
        <v>208696.64053424765</v>
      </c>
      <c r="DO139" s="33">
        <f>SUM($S$137:DO137)</f>
        <v>208696.64053424765</v>
      </c>
      <c r="DP139" s="33">
        <f>SUM($S$137:DP137)</f>
        <v>208696.64053424765</v>
      </c>
      <c r="DQ139" s="33">
        <f>SUM($S$137:DQ137)</f>
        <v>208696.64053424765</v>
      </c>
      <c r="DR139" s="33">
        <f>SUM($S$137:DR137)</f>
        <v>208696.64053424765</v>
      </c>
      <c r="DS139" s="33">
        <f>SUM($S$137:DS137)</f>
        <v>208696.64053424765</v>
      </c>
      <c r="DT139" s="33">
        <f>SUM($S$137:DT137)</f>
        <v>208696.64053424765</v>
      </c>
      <c r="DU139" s="33">
        <f>SUM($S$137:DU137)</f>
        <v>208696.64053424765</v>
      </c>
      <c r="DV139" s="33">
        <f>SUM($S$137:DV137)</f>
        <v>208696.64053424765</v>
      </c>
      <c r="DW139" s="33">
        <f>SUM($S$137:DW137)</f>
        <v>208696.64053424765</v>
      </c>
      <c r="DX139" s="33">
        <f>SUM($S$137:DX137)</f>
        <v>208696.64053424765</v>
      </c>
      <c r="DY139" s="33">
        <f>SUM($S$137:DY137)</f>
        <v>208696.64053424765</v>
      </c>
      <c r="DZ139" s="33">
        <f>SUM($S$137:DZ137)</f>
        <v>208696.64053424765</v>
      </c>
      <c r="EA139" s="33">
        <f>SUM($S$137:EA137)</f>
        <v>208696.64053424765</v>
      </c>
      <c r="EB139" s="33">
        <f>SUM($S$137:EB137)</f>
        <v>208696.64053424765</v>
      </c>
      <c r="EC139" s="33">
        <f>SUM($S$137:EC137)</f>
        <v>208696.64053424765</v>
      </c>
      <c r="ED139" s="33">
        <f>SUM($S$137:ED137)</f>
        <v>208696.64053424765</v>
      </c>
      <c r="EE139" s="33">
        <f>SUM($S$137:EE137)</f>
        <v>208696.64053424765</v>
      </c>
      <c r="EF139" s="33">
        <f>SUM($S$137:EF137)</f>
        <v>208696.64053424765</v>
      </c>
      <c r="EG139" s="33">
        <f>SUM($S$137:EG137)</f>
        <v>208696.64053424765</v>
      </c>
      <c r="EH139" s="33">
        <f>SUM($S$137:EH137)</f>
        <v>208696.64053424765</v>
      </c>
      <c r="EI139" s="33">
        <f>SUM($S$137:EI137)</f>
        <v>208696.64053424765</v>
      </c>
      <c r="EJ139" s="3"/>
      <c r="EK139" s="3"/>
    </row>
    <row r="140" spans="1:14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</row>
    <row r="141" spans="1:141" x14ac:dyDescent="0.25">
      <c r="A141" s="3"/>
      <c r="B141" s="3"/>
      <c r="C141" s="3"/>
      <c r="D141" s="3"/>
      <c r="E141" s="3"/>
      <c r="F141" s="10" t="str">
        <f>KPI!$F$149</f>
        <v>Начисление %WACC по инвестициям</v>
      </c>
      <c r="G141" s="3"/>
      <c r="H141" s="3"/>
      <c r="I141" s="3"/>
      <c r="J141" s="5" t="str">
        <f>IF($F141="","",INDEX(KPI!$I$11:$I$275,SUMIFS(KPI!$E$11:$E$275,KPI!$F$11:$F$275,$F141)))</f>
        <v>тыс.руб.</v>
      </c>
      <c r="K141" s="3"/>
      <c r="L141" s="3"/>
      <c r="M141" s="3"/>
      <c r="N141" s="3"/>
      <c r="O141" s="3"/>
      <c r="P141" s="3"/>
      <c r="Q141" s="12">
        <f>SUM(S141:EJ141)</f>
        <v>82674.020821079597</v>
      </c>
      <c r="R141" s="3"/>
      <c r="S141" s="55"/>
      <c r="T141" s="33">
        <f>SUM($S$137:T137)*SUMIFS(условия!$190:$190,условия!$8:$8,"&lt;="&amp;T$9,условия!$9:$9,"&gt;="&amp;T$9)/12</f>
        <v>0</v>
      </c>
      <c r="U141" s="33">
        <f>SUM($S$137:U137)*SUMIFS(условия!$190:$190,условия!$8:$8,"&lt;="&amp;U$9,условия!$9:$9,"&gt;="&amp;U$9)/12</f>
        <v>0</v>
      </c>
      <c r="V141" s="33">
        <f>SUM($S$137:V137)*SUMIFS(условия!$190:$190,условия!$8:$8,"&lt;="&amp;V$9,условия!$9:$9,"&gt;="&amp;V$9)/12</f>
        <v>108.66935483870968</v>
      </c>
      <c r="W141" s="33">
        <f>SUM($S$137:W137)*SUMIFS(условия!$190:$190,условия!$8:$8,"&lt;="&amp;W$9,условия!$9:$9,"&gt;="&amp;W$9)/12</f>
        <v>108.66935483870968</v>
      </c>
      <c r="X141" s="33">
        <f>SUM($S$137:X137)*SUMIFS(условия!$190:$190,условия!$8:$8,"&lt;="&amp;X$9,условия!$9:$9,"&gt;="&amp;X$9)/12</f>
        <v>408.33333333333343</v>
      </c>
      <c r="Y141" s="33">
        <f>SUM($S$137:Y137)*SUMIFS(условия!$190:$190,условия!$8:$8,"&lt;="&amp;Y$9,условия!$9:$9,"&gt;="&amp;Y$9)/12</f>
        <v>408.33333333333343</v>
      </c>
      <c r="Z141" s="33">
        <f>SUM($S$137:Z137)*SUMIFS(условия!$190:$190,условия!$8:$8,"&lt;="&amp;Z$9,условия!$9:$9,"&gt;="&amp;Z$9)/12</f>
        <v>408.33333333333343</v>
      </c>
      <c r="AA141" s="33">
        <f>SUM($S$137:AA137)*SUMIFS(условия!$190:$190,условия!$8:$8,"&lt;="&amp;AA$9,условия!$9:$9,"&gt;="&amp;AA$9)/12</f>
        <v>408.33333333333343</v>
      </c>
      <c r="AB141" s="33">
        <f>SUM($S$137:AB137)*SUMIFS(условия!$190:$190,условия!$8:$8,"&lt;="&amp;AB$9,условия!$9:$9,"&gt;="&amp;AB$9)/12</f>
        <v>408.33333333333343</v>
      </c>
      <c r="AC141" s="33">
        <f>SUM($S$137:AC137)*SUMIFS(условия!$190:$190,условия!$8:$8,"&lt;="&amp;AC$9,условия!$9:$9,"&gt;="&amp;AC$9)/12</f>
        <v>408.33333333333343</v>
      </c>
      <c r="AD141" s="33">
        <f>SUM($S$137:AD137)*SUMIFS(условия!$190:$190,условия!$8:$8,"&lt;="&amp;AD$9,условия!$9:$9,"&gt;="&amp;AD$9)/12</f>
        <v>408.33333333333343</v>
      </c>
      <c r="AE141" s="33">
        <f>SUM($S$137:AE137)*SUMIFS(условия!$190:$190,условия!$8:$8,"&lt;="&amp;AE$9,условия!$9:$9,"&gt;="&amp;AE$9)/12</f>
        <v>408.33333333333343</v>
      </c>
      <c r="AF141" s="33">
        <f>SUM($S$137:AF137)*SUMIFS(условия!$190:$190,условия!$8:$8,"&lt;="&amp;AF$9,условия!$9:$9,"&gt;="&amp;AF$9)/12</f>
        <v>408.33333333333343</v>
      </c>
      <c r="AG141" s="33">
        <f>SUM($S$137:AG137)*SUMIFS(условия!$190:$190,условия!$8:$8,"&lt;="&amp;AG$9,условия!$9:$9,"&gt;="&amp;AG$9)/12</f>
        <v>408.33333333333343</v>
      </c>
      <c r="AH141" s="33">
        <f>SUM($S$137:AH137)*SUMIFS(условия!$190:$190,условия!$8:$8,"&lt;="&amp;AH$9,условия!$9:$9,"&gt;="&amp;AH$9)/12</f>
        <v>408.33333333333343</v>
      </c>
      <c r="AI141" s="33">
        <f>SUM($S$137:AI137)*SUMIFS(условия!$190:$190,условия!$8:$8,"&lt;="&amp;AI$9,условия!$9:$9,"&gt;="&amp;AI$9)/12</f>
        <v>408.33333333333343</v>
      </c>
      <c r="AJ141" s="33">
        <f>SUM($S$137:AJ137)*SUMIFS(условия!$190:$190,условия!$8:$8,"&lt;="&amp;AJ$9,условия!$9:$9,"&gt;="&amp;AJ$9)/12</f>
        <v>408.33333333333343</v>
      </c>
      <c r="AK141" s="33">
        <f>SUM($S$137:AK137)*SUMIFS(условия!$190:$190,условия!$8:$8,"&lt;="&amp;AK$9,условия!$9:$9,"&gt;="&amp;AK$9)/12</f>
        <v>408.33333333333343</v>
      </c>
      <c r="AL141" s="33">
        <f>SUM($S$137:AL137)*SUMIFS(условия!$190:$190,условия!$8:$8,"&lt;="&amp;AL$9,условия!$9:$9,"&gt;="&amp;AL$9)/12</f>
        <v>408.33333333333343</v>
      </c>
      <c r="AM141" s="33">
        <f>SUM($S$137:AM137)*SUMIFS(условия!$190:$190,условия!$8:$8,"&lt;="&amp;AM$9,условия!$9:$9,"&gt;="&amp;AM$9)/12</f>
        <v>408.33333333333343</v>
      </c>
      <c r="AN141" s="33">
        <f>SUM($S$137:AN137)*SUMIFS(условия!$190:$190,условия!$8:$8,"&lt;="&amp;AN$9,условия!$9:$9,"&gt;="&amp;AN$9)/12</f>
        <v>408.33333333333343</v>
      </c>
      <c r="AO141" s="33">
        <f>SUM($S$137:AO137)*SUMIFS(условия!$190:$190,условия!$8:$8,"&lt;="&amp;AO$9,условия!$9:$9,"&gt;="&amp;AO$9)/12</f>
        <v>408.33333333333343</v>
      </c>
      <c r="AP141" s="33">
        <f>SUM($S$137:AP137)*SUMIFS(условия!$190:$190,условия!$8:$8,"&lt;="&amp;AP$9,условия!$9:$9,"&gt;="&amp;AP$9)/12</f>
        <v>408.33333333333343</v>
      </c>
      <c r="AQ141" s="33">
        <f>SUM($S$137:AQ137)*SUMIFS(условия!$190:$190,условия!$8:$8,"&lt;="&amp;AQ$9,условия!$9:$9,"&gt;="&amp;AQ$9)/12</f>
        <v>408.33333333333343</v>
      </c>
      <c r="AR141" s="33">
        <f>SUM($S$137:AR137)*SUMIFS(условия!$190:$190,условия!$8:$8,"&lt;="&amp;AR$9,условия!$9:$9,"&gt;="&amp;AR$9)/12</f>
        <v>408.33333333333343</v>
      </c>
      <c r="AS141" s="33">
        <f>SUM($S$137:AS137)*SUMIFS(условия!$190:$190,условия!$8:$8,"&lt;="&amp;AS$9,условия!$9:$9,"&gt;="&amp;AS$9)/12</f>
        <v>408.33333333333343</v>
      </c>
      <c r="AT141" s="33">
        <f>SUM($S$137:AT137)*SUMIFS(условия!$190:$190,условия!$8:$8,"&lt;="&amp;AT$9,условия!$9:$9,"&gt;="&amp;AT$9)/12</f>
        <v>408.33333333333343</v>
      </c>
      <c r="AU141" s="33">
        <f>SUM($S$137:AU137)*SUMIFS(условия!$190:$190,условия!$8:$8,"&lt;="&amp;AU$9,условия!$9:$9,"&gt;="&amp;AU$9)/12</f>
        <v>408.33333333333343</v>
      </c>
      <c r="AV141" s="33">
        <f>SUM($S$137:AV137)*SUMIFS(условия!$190:$190,условия!$8:$8,"&lt;="&amp;AV$9,условия!$9:$9,"&gt;="&amp;AV$9)/12</f>
        <v>408.33333333333343</v>
      </c>
      <c r="AW141" s="33">
        <f>SUM($S$137:AW137)*SUMIFS(условия!$190:$190,условия!$8:$8,"&lt;="&amp;AW$9,условия!$9:$9,"&gt;="&amp;AW$9)/12</f>
        <v>408.33333333333343</v>
      </c>
      <c r="AX141" s="33">
        <f>SUM($S$137:AX137)*SUMIFS(условия!$190:$190,условия!$8:$8,"&lt;="&amp;AX$9,условия!$9:$9,"&gt;="&amp;AX$9)/12</f>
        <v>408.33333333333343</v>
      </c>
      <c r="AY141" s="33">
        <f>SUM($S$137:AY137)*SUMIFS(условия!$190:$190,условия!$8:$8,"&lt;="&amp;AY$9,условия!$9:$9,"&gt;="&amp;AY$9)/12</f>
        <v>408.33333333333343</v>
      </c>
      <c r="AZ141" s="33">
        <f>SUM($S$137:AZ137)*SUMIFS(условия!$190:$190,условия!$8:$8,"&lt;="&amp;AZ$9,условия!$9:$9,"&gt;="&amp;AZ$9)/12</f>
        <v>408.33333333333343</v>
      </c>
      <c r="BA141" s="33">
        <f>SUM($S$137:BA137)*SUMIFS(условия!$190:$190,условия!$8:$8,"&lt;="&amp;BA$9,условия!$9:$9,"&gt;="&amp;BA$9)/12</f>
        <v>408.33333333333343</v>
      </c>
      <c r="BB141" s="33">
        <f>SUM($S$137:BB137)*SUMIFS(условия!$190:$190,условия!$8:$8,"&lt;="&amp;BB$9,условия!$9:$9,"&gt;="&amp;BB$9)/12</f>
        <v>408.33333333333343</v>
      </c>
      <c r="BC141" s="33">
        <f>SUM($S$137:BC137)*SUMIFS(условия!$190:$190,условия!$8:$8,"&lt;="&amp;BC$9,условия!$9:$9,"&gt;="&amp;BC$9)/12</f>
        <v>408.33333333333343</v>
      </c>
      <c r="BD141" s="33">
        <f>SUM($S$137:BD137)*SUMIFS(условия!$190:$190,условия!$8:$8,"&lt;="&amp;BD$9,условия!$9:$9,"&gt;="&amp;BD$9)/12</f>
        <v>408.33333333333343</v>
      </c>
      <c r="BE141" s="33">
        <f>SUM($S$137:BE137)*SUMIFS(условия!$190:$190,условия!$8:$8,"&lt;="&amp;BE$9,условия!$9:$9,"&gt;="&amp;BE$9)/12</f>
        <v>408.33333333333343</v>
      </c>
      <c r="BF141" s="33">
        <f>SUM($S$137:BF137)*SUMIFS(условия!$190:$190,условия!$8:$8,"&lt;="&amp;BF$9,условия!$9:$9,"&gt;="&amp;BF$9)/12</f>
        <v>408.33333333333343</v>
      </c>
      <c r="BG141" s="33">
        <f>SUM($S$137:BG137)*SUMIFS(условия!$190:$190,условия!$8:$8,"&lt;="&amp;BG$9,условия!$9:$9,"&gt;="&amp;BG$9)/12</f>
        <v>408.33333333333343</v>
      </c>
      <c r="BH141" s="33">
        <f>SUM($S$137:BH137)*SUMIFS(условия!$190:$190,условия!$8:$8,"&lt;="&amp;BH$9,условия!$9:$9,"&gt;="&amp;BH$9)/12</f>
        <v>408.33333333333343</v>
      </c>
      <c r="BI141" s="33">
        <f>SUM($S$137:BI137)*SUMIFS(условия!$190:$190,условия!$8:$8,"&lt;="&amp;BI$9,условия!$9:$9,"&gt;="&amp;BI$9)/12</f>
        <v>408.33333333333343</v>
      </c>
      <c r="BJ141" s="33">
        <f>SUM($S$137:BJ137)*SUMIFS(условия!$190:$190,условия!$8:$8,"&lt;="&amp;BJ$9,условия!$9:$9,"&gt;="&amp;BJ$9)/12</f>
        <v>408.33333333333343</v>
      </c>
      <c r="BK141" s="33">
        <f>SUM($S$137:BK137)*SUMIFS(условия!$190:$190,условия!$8:$8,"&lt;="&amp;BK$9,условия!$9:$9,"&gt;="&amp;BK$9)/12</f>
        <v>408.33333333333343</v>
      </c>
      <c r="BL141" s="33">
        <f>SUM($S$137:BL137)*SUMIFS(условия!$190:$190,условия!$8:$8,"&lt;="&amp;BL$9,условия!$9:$9,"&gt;="&amp;BL$9)/12</f>
        <v>408.33333333333343</v>
      </c>
      <c r="BM141" s="33">
        <f>SUM($S$137:BM137)*SUMIFS(условия!$190:$190,условия!$8:$8,"&lt;="&amp;BM$9,условия!$9:$9,"&gt;="&amp;BM$9)/12</f>
        <v>408.33333333333343</v>
      </c>
      <c r="BN141" s="33">
        <f>SUM($S$137:BN137)*SUMIFS(условия!$190:$190,условия!$8:$8,"&lt;="&amp;BN$9,условия!$9:$9,"&gt;="&amp;BN$9)/12</f>
        <v>408.33333333333343</v>
      </c>
      <c r="BO141" s="33">
        <f>SUM($S$137:BO137)*SUMIFS(условия!$190:$190,условия!$8:$8,"&lt;="&amp;BO$9,условия!$9:$9,"&gt;="&amp;BO$9)/12</f>
        <v>408.33333333333343</v>
      </c>
      <c r="BP141" s="33">
        <f>SUM($S$137:BP137)*SUMIFS(условия!$190:$190,условия!$8:$8,"&lt;="&amp;BP$9,условия!$9:$9,"&gt;="&amp;BP$9)/12</f>
        <v>408.33333333333343</v>
      </c>
      <c r="BQ141" s="33">
        <f>SUM($S$137:BQ137)*SUMIFS(условия!$190:$190,условия!$8:$8,"&lt;="&amp;BQ$9,условия!$9:$9,"&gt;="&amp;BQ$9)/12</f>
        <v>408.33333333333343</v>
      </c>
      <c r="BR141" s="33">
        <f>SUM($S$137:BR137)*SUMIFS(условия!$190:$190,условия!$8:$8,"&lt;="&amp;BR$9,условия!$9:$9,"&gt;="&amp;BR$9)/12</f>
        <v>408.33333333333343</v>
      </c>
      <c r="BS141" s="33">
        <f>SUM($S$137:BS137)*SUMIFS(условия!$190:$190,условия!$8:$8,"&lt;="&amp;BS$9,условия!$9:$9,"&gt;="&amp;BS$9)/12</f>
        <v>408.33333333333343</v>
      </c>
      <c r="BT141" s="33">
        <f>SUM($S$137:BT137)*SUMIFS(условия!$190:$190,условия!$8:$8,"&lt;="&amp;BT$9,условия!$9:$9,"&gt;="&amp;BT$9)/12</f>
        <v>408.33333333333343</v>
      </c>
      <c r="BU141" s="33">
        <f>SUM($S$137:BU137)*SUMIFS(условия!$190:$190,условия!$8:$8,"&lt;="&amp;BU$9,условия!$9:$9,"&gt;="&amp;BU$9)/12</f>
        <v>408.33333333333343</v>
      </c>
      <c r="BV141" s="33">
        <f>SUM($S$137:BV137)*SUMIFS(условия!$190:$190,условия!$8:$8,"&lt;="&amp;BV$9,условия!$9:$9,"&gt;="&amp;BV$9)/12</f>
        <v>408.33333333333343</v>
      </c>
      <c r="BW141" s="33">
        <f>SUM($S$137:BW137)*SUMIFS(условия!$190:$190,условия!$8:$8,"&lt;="&amp;BW$9,условия!$9:$9,"&gt;="&amp;BW$9)/12</f>
        <v>507.11181061841398</v>
      </c>
      <c r="BX141" s="33">
        <f>SUM($S$137:BX137)*SUMIFS(условия!$190:$190,условия!$8:$8,"&lt;="&amp;BX$9,условия!$9:$9,"&gt;="&amp;BX$9)/12</f>
        <v>507.11181061841398</v>
      </c>
      <c r="BY141" s="33">
        <f>SUM($S$137:BY137)*SUMIFS(условия!$190:$190,условия!$8:$8,"&lt;="&amp;BY$9,условия!$9:$9,"&gt;="&amp;BY$9)/12</f>
        <v>779.50094495000019</v>
      </c>
      <c r="BZ141" s="33">
        <f>SUM($S$137:BZ137)*SUMIFS(условия!$190:$190,условия!$8:$8,"&lt;="&amp;BZ$9,условия!$9:$9,"&gt;="&amp;BZ$9)/12</f>
        <v>779.50094495000019</v>
      </c>
      <c r="CA141" s="33">
        <f>SUM($S$137:CA137)*SUMIFS(условия!$190:$190,условия!$8:$8,"&lt;="&amp;CA$9,условия!$9:$9,"&gt;="&amp;CA$9)/12</f>
        <v>779.50094495000019</v>
      </c>
      <c r="CB141" s="33">
        <f>SUM($S$137:CB137)*SUMIFS(условия!$190:$190,условия!$8:$8,"&lt;="&amp;CB$9,условия!$9:$9,"&gt;="&amp;CB$9)/12</f>
        <v>779.50094495000019</v>
      </c>
      <c r="CC141" s="33">
        <f>SUM($S$137:CC137)*SUMIFS(условия!$190:$190,условия!$8:$8,"&lt;="&amp;CC$9,условия!$9:$9,"&gt;="&amp;CC$9)/12</f>
        <v>779.50094495000019</v>
      </c>
      <c r="CD141" s="33">
        <f>SUM($S$137:CD137)*SUMIFS(условия!$190:$190,условия!$8:$8,"&lt;="&amp;CD$9,условия!$9:$9,"&gt;="&amp;CD$9)/12</f>
        <v>779.50094495000019</v>
      </c>
      <c r="CE141" s="33">
        <f>SUM($S$137:CE137)*SUMIFS(условия!$190:$190,условия!$8:$8,"&lt;="&amp;CE$9,условия!$9:$9,"&gt;="&amp;CE$9)/12</f>
        <v>779.50094495000019</v>
      </c>
      <c r="CF141" s="33">
        <f>SUM($S$137:CF137)*SUMIFS(условия!$190:$190,условия!$8:$8,"&lt;="&amp;CF$9,условия!$9:$9,"&gt;="&amp;CF$9)/12</f>
        <v>779.50094495000019</v>
      </c>
      <c r="CG141" s="33">
        <f>SUM($S$137:CG137)*SUMIFS(условия!$190:$190,условия!$8:$8,"&lt;="&amp;CG$9,условия!$9:$9,"&gt;="&amp;CG$9)/12</f>
        <v>779.50094495000019</v>
      </c>
      <c r="CH141" s="33">
        <f>SUM($S$137:CH137)*SUMIFS(условия!$190:$190,условия!$8:$8,"&lt;="&amp;CH$9,условия!$9:$9,"&gt;="&amp;CH$9)/12</f>
        <v>779.50094495000019</v>
      </c>
      <c r="CI141" s="33">
        <f>SUM($S$137:CI137)*SUMIFS(условия!$190:$190,условия!$8:$8,"&lt;="&amp;CI$9,условия!$9:$9,"&gt;="&amp;CI$9)/12</f>
        <v>779.50094495000019</v>
      </c>
      <c r="CJ141" s="33">
        <f>SUM($S$137:CJ137)*SUMIFS(условия!$190:$190,условия!$8:$8,"&lt;="&amp;CJ$9,условия!$9:$9,"&gt;="&amp;CJ$9)/12</f>
        <v>779.50094495000019</v>
      </c>
      <c r="CK141" s="33">
        <f>SUM($S$137:CK137)*SUMIFS(условия!$190:$190,условия!$8:$8,"&lt;="&amp;CK$9,условия!$9:$9,"&gt;="&amp;CK$9)/12</f>
        <v>779.50094495000019</v>
      </c>
      <c r="CL141" s="33">
        <f>SUM($S$137:CL137)*SUMIFS(условия!$190:$190,условия!$8:$8,"&lt;="&amp;CL$9,условия!$9:$9,"&gt;="&amp;CL$9)/12</f>
        <v>779.50094495000019</v>
      </c>
      <c r="CM141" s="33">
        <f>SUM($S$137:CM137)*SUMIFS(условия!$190:$190,условия!$8:$8,"&lt;="&amp;CM$9,условия!$9:$9,"&gt;="&amp;CM$9)/12</f>
        <v>779.50094495000019</v>
      </c>
      <c r="CN141" s="33">
        <f>SUM($S$137:CN137)*SUMIFS(условия!$190:$190,условия!$8:$8,"&lt;="&amp;CN$9,условия!$9:$9,"&gt;="&amp;CN$9)/12</f>
        <v>779.50094495000019</v>
      </c>
      <c r="CO141" s="33">
        <f>SUM($S$137:CO137)*SUMIFS(условия!$190:$190,условия!$8:$8,"&lt;="&amp;CO$9,условия!$9:$9,"&gt;="&amp;CO$9)/12</f>
        <v>779.50094495000019</v>
      </c>
      <c r="CP141" s="33">
        <f>SUM($S$137:CP137)*SUMIFS(условия!$190:$190,условия!$8:$8,"&lt;="&amp;CP$9,условия!$9:$9,"&gt;="&amp;CP$9)/12</f>
        <v>779.50094495000019</v>
      </c>
      <c r="CQ141" s="33">
        <f>SUM($S$137:CQ137)*SUMIFS(условия!$190:$190,условия!$8:$8,"&lt;="&amp;CQ$9,условия!$9:$9,"&gt;="&amp;CQ$9)/12</f>
        <v>779.50094495000019</v>
      </c>
      <c r="CR141" s="33">
        <f>SUM($S$137:CR137)*SUMIFS(условия!$190:$190,условия!$8:$8,"&lt;="&amp;CR$9,условия!$9:$9,"&gt;="&amp;CR$9)/12</f>
        <v>779.50094495000019</v>
      </c>
      <c r="CS141" s="33">
        <f>SUM($S$137:CS137)*SUMIFS(условия!$190:$190,условия!$8:$8,"&lt;="&amp;CS$9,условия!$9:$9,"&gt;="&amp;CS$9)/12</f>
        <v>779.50094495000019</v>
      </c>
      <c r="CT141" s="33">
        <f>SUM($S$137:CT137)*SUMIFS(условия!$190:$190,условия!$8:$8,"&lt;="&amp;CT$9,условия!$9:$9,"&gt;="&amp;CT$9)/12</f>
        <v>779.50094495000019</v>
      </c>
      <c r="CU141" s="33">
        <f>SUM($S$137:CU137)*SUMIFS(условия!$190:$190,условия!$8:$8,"&lt;="&amp;CU$9,условия!$9:$9,"&gt;="&amp;CU$9)/12</f>
        <v>779.50094495000019</v>
      </c>
      <c r="CV141" s="33">
        <f>SUM($S$137:CV137)*SUMIFS(условия!$190:$190,условия!$8:$8,"&lt;="&amp;CV$9,условия!$9:$9,"&gt;="&amp;CV$9)/12</f>
        <v>779.50094495000019</v>
      </c>
      <c r="CW141" s="33">
        <f>SUM($S$137:CW137)*SUMIFS(условия!$190:$190,условия!$8:$8,"&lt;="&amp;CW$9,условия!$9:$9,"&gt;="&amp;CW$9)/12</f>
        <v>779.50094495000019</v>
      </c>
      <c r="CX141" s="33">
        <f>SUM($S$137:CX137)*SUMIFS(условия!$190:$190,условия!$8:$8,"&lt;="&amp;CX$9,условия!$9:$9,"&gt;="&amp;CX$9)/12</f>
        <v>779.50094495000019</v>
      </c>
      <c r="CY141" s="33">
        <f>SUM($S$137:CY137)*SUMIFS(условия!$190:$190,условия!$8:$8,"&lt;="&amp;CY$9,условия!$9:$9,"&gt;="&amp;CY$9)/12</f>
        <v>779.50094495000019</v>
      </c>
      <c r="CZ141" s="33">
        <f>SUM($S$137:CZ137)*SUMIFS(условия!$190:$190,условия!$8:$8,"&lt;="&amp;CZ$9,условия!$9:$9,"&gt;="&amp;CZ$9)/12</f>
        <v>779.50094495000019</v>
      </c>
      <c r="DA141" s="33">
        <f>SUM($S$137:DA137)*SUMIFS(условия!$190:$190,условия!$8:$8,"&lt;="&amp;DA$9,условия!$9:$9,"&gt;="&amp;DA$9)/12</f>
        <v>779.50094495000019</v>
      </c>
      <c r="DB141" s="33">
        <f>SUM($S$137:DB137)*SUMIFS(условия!$190:$190,условия!$8:$8,"&lt;="&amp;DB$9,условия!$9:$9,"&gt;="&amp;DB$9)/12</f>
        <v>779.50094495000019</v>
      </c>
      <c r="DC141" s="33">
        <f>SUM($S$137:DC137)*SUMIFS(условия!$190:$190,условия!$8:$8,"&lt;="&amp;DC$9,условия!$9:$9,"&gt;="&amp;DC$9)/12</f>
        <v>779.50094495000019</v>
      </c>
      <c r="DD141" s="33">
        <f>SUM($S$137:DD137)*SUMIFS(условия!$190:$190,условия!$8:$8,"&lt;="&amp;DD$9,условия!$9:$9,"&gt;="&amp;DD$9)/12</f>
        <v>779.50094495000019</v>
      </c>
      <c r="DE141" s="33">
        <f>SUM($S$137:DE137)*SUMIFS(условия!$190:$190,условия!$8:$8,"&lt;="&amp;DE$9,условия!$9:$9,"&gt;="&amp;DE$9)/12</f>
        <v>779.50094495000019</v>
      </c>
      <c r="DF141" s="33">
        <f>SUM($S$137:DF137)*SUMIFS(условия!$190:$190,условия!$8:$8,"&lt;="&amp;DF$9,условия!$9:$9,"&gt;="&amp;DF$9)/12</f>
        <v>779.50094495000019</v>
      </c>
      <c r="DG141" s="33">
        <f>SUM($S$137:DG137)*SUMIFS(условия!$190:$190,условия!$8:$8,"&lt;="&amp;DG$9,условия!$9:$9,"&gt;="&amp;DG$9)/12</f>
        <v>779.50094495000019</v>
      </c>
      <c r="DH141" s="33">
        <f>SUM($S$137:DH137)*SUMIFS(условия!$190:$190,условия!$8:$8,"&lt;="&amp;DH$9,условия!$9:$9,"&gt;="&amp;DH$9)/12</f>
        <v>888.97497615827797</v>
      </c>
      <c r="DI141" s="33">
        <f>SUM($S$137:DI137)*SUMIFS(условия!$190:$190,условия!$8:$8,"&lt;="&amp;DI$9,условия!$9:$9,"&gt;="&amp;DI$9)/12</f>
        <v>1005.5118480896705</v>
      </c>
      <c r="DJ141" s="33">
        <f>SUM($S$137:DJ137)*SUMIFS(условия!$190:$190,условия!$8:$8,"&lt;="&amp;DJ$9,условия!$9:$9,"&gt;="&amp;DJ$9)/12</f>
        <v>1005.5118480896705</v>
      </c>
      <c r="DK141" s="33">
        <f>SUM($S$137:DK137)*SUMIFS(условия!$190:$190,условия!$8:$8,"&lt;="&amp;DK$9,условия!$9:$9,"&gt;="&amp;DK$9)/12</f>
        <v>1217.3970697831114</v>
      </c>
      <c r="DL141" s="33">
        <f>SUM($S$137:DL137)*SUMIFS(условия!$190:$190,условия!$8:$8,"&lt;="&amp;DL$9,условия!$9:$9,"&gt;="&amp;DL$9)/12</f>
        <v>1217.3970697831114</v>
      </c>
      <c r="DM141" s="33">
        <f>SUM($S$137:DM137)*SUMIFS(условия!$190:$190,условия!$8:$8,"&lt;="&amp;DM$9,условия!$9:$9,"&gt;="&amp;DM$9)/12</f>
        <v>1217.3970697831114</v>
      </c>
      <c r="DN141" s="33">
        <f>SUM($S$137:DN137)*SUMIFS(условия!$190:$190,условия!$8:$8,"&lt;="&amp;DN$9,условия!$9:$9,"&gt;="&amp;DN$9)/12</f>
        <v>1217.3970697831114</v>
      </c>
      <c r="DO141" s="33">
        <f>SUM($S$137:DO137)*SUMIFS(условия!$190:$190,условия!$8:$8,"&lt;="&amp;DO$9,условия!$9:$9,"&gt;="&amp;DO$9)/12</f>
        <v>1217.3970697831114</v>
      </c>
      <c r="DP141" s="33">
        <f>SUM($S$137:DP137)*SUMIFS(условия!$190:$190,условия!$8:$8,"&lt;="&amp;DP$9,условия!$9:$9,"&gt;="&amp;DP$9)/12</f>
        <v>1217.3970697831114</v>
      </c>
      <c r="DQ141" s="33">
        <f>SUM($S$137:DQ137)*SUMIFS(условия!$190:$190,условия!$8:$8,"&lt;="&amp;DQ$9,условия!$9:$9,"&gt;="&amp;DQ$9)/12</f>
        <v>1217.3970697831114</v>
      </c>
      <c r="DR141" s="33">
        <f>SUM($S$137:DR137)*SUMIFS(условия!$190:$190,условия!$8:$8,"&lt;="&amp;DR$9,условия!$9:$9,"&gt;="&amp;DR$9)/12</f>
        <v>1217.3970697831114</v>
      </c>
      <c r="DS141" s="33">
        <f>SUM($S$137:DS137)*SUMIFS(условия!$190:$190,условия!$8:$8,"&lt;="&amp;DS$9,условия!$9:$9,"&gt;="&amp;DS$9)/12</f>
        <v>1217.3970697831114</v>
      </c>
      <c r="DT141" s="33">
        <f>SUM($S$137:DT137)*SUMIFS(условия!$190:$190,условия!$8:$8,"&lt;="&amp;DT$9,условия!$9:$9,"&gt;="&amp;DT$9)/12</f>
        <v>1217.3970697831114</v>
      </c>
      <c r="DU141" s="33">
        <f>SUM($S$137:DU137)*SUMIFS(условия!$190:$190,условия!$8:$8,"&lt;="&amp;DU$9,условия!$9:$9,"&gt;="&amp;DU$9)/12</f>
        <v>1217.3970697831114</v>
      </c>
      <c r="DV141" s="33">
        <f>SUM($S$137:DV137)*SUMIFS(условия!$190:$190,условия!$8:$8,"&lt;="&amp;DV$9,условия!$9:$9,"&gt;="&amp;DV$9)/12</f>
        <v>1217.3970697831114</v>
      </c>
      <c r="DW141" s="33">
        <f>SUM($S$137:DW137)*SUMIFS(условия!$190:$190,условия!$8:$8,"&lt;="&amp;DW$9,условия!$9:$9,"&gt;="&amp;DW$9)/12</f>
        <v>1217.3970697831114</v>
      </c>
      <c r="DX141" s="33">
        <f>SUM($S$137:DX137)*SUMIFS(условия!$190:$190,условия!$8:$8,"&lt;="&amp;DX$9,условия!$9:$9,"&gt;="&amp;DX$9)/12</f>
        <v>1217.3970697831114</v>
      </c>
      <c r="DY141" s="33">
        <f>SUM($S$137:DY137)*SUMIFS(условия!$190:$190,условия!$8:$8,"&lt;="&amp;DY$9,условия!$9:$9,"&gt;="&amp;DY$9)/12</f>
        <v>1217.3970697831114</v>
      </c>
      <c r="DZ141" s="33">
        <f>SUM($S$137:DZ137)*SUMIFS(условия!$190:$190,условия!$8:$8,"&lt;="&amp;DZ$9,условия!$9:$9,"&gt;="&amp;DZ$9)/12</f>
        <v>1217.3970697831114</v>
      </c>
      <c r="EA141" s="33">
        <f>SUM($S$137:EA137)*SUMIFS(условия!$190:$190,условия!$8:$8,"&lt;="&amp;EA$9,условия!$9:$9,"&gt;="&amp;EA$9)/12</f>
        <v>1217.3970697831114</v>
      </c>
      <c r="EB141" s="33">
        <f>SUM($S$137:EB137)*SUMIFS(условия!$190:$190,условия!$8:$8,"&lt;="&amp;EB$9,условия!$9:$9,"&gt;="&amp;EB$9)/12</f>
        <v>1217.3970697831114</v>
      </c>
      <c r="EC141" s="33">
        <f>SUM($S$137:EC137)*SUMIFS(условия!$190:$190,условия!$8:$8,"&lt;="&amp;EC$9,условия!$9:$9,"&gt;="&amp;EC$9)/12</f>
        <v>1217.3970697831114</v>
      </c>
      <c r="ED141" s="33">
        <f>SUM($S$137:ED137)*SUMIFS(условия!$190:$190,условия!$8:$8,"&lt;="&amp;ED$9,условия!$9:$9,"&gt;="&amp;ED$9)/12</f>
        <v>1217.3970697831114</v>
      </c>
      <c r="EE141" s="33">
        <f>SUM($S$137:EE137)*SUMIFS(условия!$190:$190,условия!$8:$8,"&lt;="&amp;EE$9,условия!$9:$9,"&gt;="&amp;EE$9)/12</f>
        <v>1217.3970697831114</v>
      </c>
      <c r="EF141" s="33">
        <f>SUM($S$137:EF137)*SUMIFS(условия!$190:$190,условия!$8:$8,"&lt;="&amp;EF$9,условия!$9:$9,"&gt;="&amp;EF$9)/12</f>
        <v>1217.3970697831114</v>
      </c>
      <c r="EG141" s="33">
        <f>SUM($S$137:EG137)*SUMIFS(условия!$190:$190,условия!$8:$8,"&lt;="&amp;EG$9,условия!$9:$9,"&gt;="&amp;EG$9)/12</f>
        <v>1217.3970697831114</v>
      </c>
      <c r="EH141" s="33">
        <f>SUM($S$137:EH137)*SUMIFS(условия!$190:$190,условия!$8:$8,"&lt;="&amp;EH$9,условия!$9:$9,"&gt;="&amp;EH$9)/12</f>
        <v>1217.3970697831114</v>
      </c>
      <c r="EI141" s="33">
        <f>SUM($S$137:EI137)*SUMIFS(условия!$190:$190,условия!$8:$8,"&lt;="&amp;EI$9,условия!$9:$9,"&gt;="&amp;EI$9)/12</f>
        <v>1217.3970697831114</v>
      </c>
      <c r="EJ141" s="3"/>
      <c r="EK141" s="3"/>
    </row>
    <row r="142" spans="1:14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2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</row>
    <row r="143" spans="1:141" x14ac:dyDescent="0.25">
      <c r="A143" s="3"/>
      <c r="B143" s="3"/>
      <c r="C143" s="3"/>
      <c r="D143" s="3"/>
      <c r="E143" s="3"/>
      <c r="F143" s="10" t="str">
        <f>KPI!$F$150</f>
        <v>Долгосрочная кредиторская задолженность по %-там на конец периода</v>
      </c>
      <c r="G143" s="3"/>
      <c r="H143" s="3"/>
      <c r="I143" s="3"/>
      <c r="J143" s="5" t="str">
        <f>IF($F143="","",INDEX(KPI!$I$11:$I$275,SUMIFS(KPI!$E$11:$E$275,KPI!$F$11:$F$275,$F143)))</f>
        <v>тыс.руб.</v>
      </c>
      <c r="K143" s="3"/>
      <c r="L143" s="3"/>
      <c r="M143" s="3"/>
      <c r="N143" s="3"/>
      <c r="O143" s="3"/>
      <c r="P143" s="3"/>
      <c r="Q143" s="12"/>
      <c r="R143" s="3"/>
      <c r="S143" s="55"/>
      <c r="T143" s="33">
        <f>SUM($S$141:T141)</f>
        <v>0</v>
      </c>
      <c r="U143" s="33">
        <f>SUM($S$141:U141)</f>
        <v>0</v>
      </c>
      <c r="V143" s="33">
        <f>SUM($S$141:V141)</f>
        <v>108.66935483870968</v>
      </c>
      <c r="W143" s="33">
        <f>SUM($S$141:W141)</f>
        <v>217.33870967741936</v>
      </c>
      <c r="X143" s="33">
        <f>SUM($S$141:X141)</f>
        <v>625.67204301075276</v>
      </c>
      <c r="Y143" s="33">
        <f>SUM($S$141:Y141)</f>
        <v>1034.0053763440862</v>
      </c>
      <c r="Z143" s="33">
        <f>SUM($S$141:Z141)</f>
        <v>1442.3387096774197</v>
      </c>
      <c r="AA143" s="33">
        <f>SUM($S$141:AA141)</f>
        <v>1850.6720430107532</v>
      </c>
      <c r="AB143" s="33">
        <f>SUM($S$141:AB141)</f>
        <v>2259.0053763440865</v>
      </c>
      <c r="AC143" s="33">
        <f>SUM($S$141:AC141)</f>
        <v>2667.33870967742</v>
      </c>
      <c r="AD143" s="33">
        <f>SUM($S$141:AD141)</f>
        <v>3075.6720430107534</v>
      </c>
      <c r="AE143" s="33">
        <f>SUM($S$141:AE141)</f>
        <v>3484.0053763440869</v>
      </c>
      <c r="AF143" s="33">
        <f>SUM($S$141:AF141)</f>
        <v>3892.3387096774204</v>
      </c>
      <c r="AG143" s="33">
        <f>SUM($S$141:AG141)</f>
        <v>4300.6720430107534</v>
      </c>
      <c r="AH143" s="33">
        <f>SUM($S$141:AH141)</f>
        <v>4709.0053763440865</v>
      </c>
      <c r="AI143" s="33">
        <f>SUM($S$141:AI141)</f>
        <v>5117.3387096774195</v>
      </c>
      <c r="AJ143" s="33">
        <f>SUM($S$141:AJ141)</f>
        <v>5525.6720430107525</v>
      </c>
      <c r="AK143" s="33">
        <f>SUM($S$141:AK141)</f>
        <v>5934.0053763440856</v>
      </c>
      <c r="AL143" s="33">
        <f>SUM($S$141:AL141)</f>
        <v>6342.3387096774186</v>
      </c>
      <c r="AM143" s="33">
        <f>SUM($S$141:AM141)</f>
        <v>6750.6720430107516</v>
      </c>
      <c r="AN143" s="33">
        <f>SUM($S$141:AN141)</f>
        <v>7159.0053763440847</v>
      </c>
      <c r="AO143" s="33">
        <f>SUM($S$141:AO141)</f>
        <v>7567.3387096774177</v>
      </c>
      <c r="AP143" s="33">
        <f>SUM($S$141:AP141)</f>
        <v>7975.6720430107507</v>
      </c>
      <c r="AQ143" s="33">
        <f>SUM($S$141:AQ141)</f>
        <v>8384.0053763440847</v>
      </c>
      <c r="AR143" s="33">
        <f>SUM($S$141:AR141)</f>
        <v>8792.3387096774186</v>
      </c>
      <c r="AS143" s="33">
        <f>SUM($S$141:AS141)</f>
        <v>9200.6720430107525</v>
      </c>
      <c r="AT143" s="33">
        <f>SUM($S$141:AT141)</f>
        <v>9609.0053763440865</v>
      </c>
      <c r="AU143" s="33">
        <f>SUM($S$141:AU141)</f>
        <v>10017.33870967742</v>
      </c>
      <c r="AV143" s="33">
        <f>SUM($S$141:AV141)</f>
        <v>10425.672043010754</v>
      </c>
      <c r="AW143" s="33">
        <f>SUM($S$141:AW141)</f>
        <v>10834.005376344088</v>
      </c>
      <c r="AX143" s="33">
        <f>SUM($S$141:AX141)</f>
        <v>11242.338709677422</v>
      </c>
      <c r="AY143" s="33">
        <f>SUM($S$141:AY141)</f>
        <v>11650.672043010756</v>
      </c>
      <c r="AZ143" s="33">
        <f>SUM($S$141:AZ141)</f>
        <v>12059.00537634409</v>
      </c>
      <c r="BA143" s="33">
        <f>SUM($S$141:BA141)</f>
        <v>12467.338709677424</v>
      </c>
      <c r="BB143" s="33">
        <f>SUM($S$141:BB141)</f>
        <v>12875.672043010758</v>
      </c>
      <c r="BC143" s="33">
        <f>SUM($S$141:BC141)</f>
        <v>13284.005376344092</v>
      </c>
      <c r="BD143" s="33">
        <f>SUM($S$141:BD141)</f>
        <v>13692.338709677426</v>
      </c>
      <c r="BE143" s="33">
        <f>SUM($S$141:BE141)</f>
        <v>14100.67204301076</v>
      </c>
      <c r="BF143" s="33">
        <f>SUM($S$141:BF141)</f>
        <v>14509.005376344094</v>
      </c>
      <c r="BG143" s="33">
        <f>SUM($S$141:BG141)</f>
        <v>14917.338709677428</v>
      </c>
      <c r="BH143" s="33">
        <f>SUM($S$141:BH141)</f>
        <v>15325.672043010762</v>
      </c>
      <c r="BI143" s="33">
        <f>SUM($S$141:BI141)</f>
        <v>15734.005376344096</v>
      </c>
      <c r="BJ143" s="33">
        <f>SUM($S$141:BJ141)</f>
        <v>16142.33870967743</v>
      </c>
      <c r="BK143" s="33">
        <f>SUM($S$141:BK141)</f>
        <v>16550.672043010763</v>
      </c>
      <c r="BL143" s="33">
        <f>SUM($S$141:BL141)</f>
        <v>16959.005376344096</v>
      </c>
      <c r="BM143" s="33">
        <f>SUM($S$141:BM141)</f>
        <v>17367.338709677428</v>
      </c>
      <c r="BN143" s="33">
        <f>SUM($S$141:BN141)</f>
        <v>17775.67204301076</v>
      </c>
      <c r="BO143" s="33">
        <f>SUM($S$141:BO141)</f>
        <v>18184.005376344092</v>
      </c>
      <c r="BP143" s="33">
        <f>SUM($S$141:BP141)</f>
        <v>18592.338709677424</v>
      </c>
      <c r="BQ143" s="33">
        <f>SUM($S$141:BQ141)</f>
        <v>19000.672043010756</v>
      </c>
      <c r="BR143" s="33">
        <f>SUM($S$141:BR141)</f>
        <v>19409.005376344088</v>
      </c>
      <c r="BS143" s="33">
        <f>SUM($S$141:BS141)</f>
        <v>19817.33870967742</v>
      </c>
      <c r="BT143" s="33">
        <f>SUM($S$141:BT141)</f>
        <v>20225.672043010753</v>
      </c>
      <c r="BU143" s="33">
        <f>SUM($S$141:BU141)</f>
        <v>20634.005376344085</v>
      </c>
      <c r="BV143" s="33">
        <f>SUM($S$141:BV141)</f>
        <v>21042.338709677417</v>
      </c>
      <c r="BW143" s="33">
        <f>SUM($S$141:BW141)</f>
        <v>21549.450520295832</v>
      </c>
      <c r="BX143" s="33">
        <f>SUM($S$141:BX141)</f>
        <v>22056.562330914247</v>
      </c>
      <c r="BY143" s="33">
        <f>SUM($S$141:BY141)</f>
        <v>22836.063275864246</v>
      </c>
      <c r="BZ143" s="33">
        <f>SUM($S$141:BZ141)</f>
        <v>23615.564220814245</v>
      </c>
      <c r="CA143" s="33">
        <f>SUM($S$141:CA141)</f>
        <v>24395.065165764245</v>
      </c>
      <c r="CB143" s="33">
        <f>SUM($S$141:CB141)</f>
        <v>25174.566110714244</v>
      </c>
      <c r="CC143" s="33">
        <f>SUM($S$141:CC141)</f>
        <v>25954.067055664244</v>
      </c>
      <c r="CD143" s="33">
        <f>SUM($S$141:CD141)</f>
        <v>26733.568000614243</v>
      </c>
      <c r="CE143" s="33">
        <f>SUM($S$141:CE141)</f>
        <v>27513.068945564242</v>
      </c>
      <c r="CF143" s="33">
        <f>SUM($S$141:CF141)</f>
        <v>28292.569890514242</v>
      </c>
      <c r="CG143" s="33">
        <f>SUM($S$141:CG141)</f>
        <v>29072.070835464241</v>
      </c>
      <c r="CH143" s="33">
        <f>SUM($S$141:CH141)</f>
        <v>29851.57178041424</v>
      </c>
      <c r="CI143" s="33">
        <f>SUM($S$141:CI141)</f>
        <v>30631.07272536424</v>
      </c>
      <c r="CJ143" s="33">
        <f>SUM($S$141:CJ141)</f>
        <v>31410.573670314239</v>
      </c>
      <c r="CK143" s="33">
        <f>SUM($S$141:CK141)</f>
        <v>32190.074615264239</v>
      </c>
      <c r="CL143" s="33">
        <f>SUM($S$141:CL141)</f>
        <v>32969.575560214238</v>
      </c>
      <c r="CM143" s="33">
        <f>SUM($S$141:CM141)</f>
        <v>33749.076505164237</v>
      </c>
      <c r="CN143" s="33">
        <f>SUM($S$141:CN141)</f>
        <v>34528.577450114237</v>
      </c>
      <c r="CO143" s="33">
        <f>SUM($S$141:CO141)</f>
        <v>35308.078395064236</v>
      </c>
      <c r="CP143" s="33">
        <f>SUM($S$141:CP141)</f>
        <v>36087.579340014236</v>
      </c>
      <c r="CQ143" s="33">
        <f>SUM($S$141:CQ141)</f>
        <v>36867.080284964235</v>
      </c>
      <c r="CR143" s="33">
        <f>SUM($S$141:CR141)</f>
        <v>37646.581229914234</v>
      </c>
      <c r="CS143" s="33">
        <f>SUM($S$141:CS141)</f>
        <v>38426.082174864234</v>
      </c>
      <c r="CT143" s="33">
        <f>SUM($S$141:CT141)</f>
        <v>39205.583119814233</v>
      </c>
      <c r="CU143" s="33">
        <f>SUM($S$141:CU141)</f>
        <v>39985.084064764233</v>
      </c>
      <c r="CV143" s="33">
        <f>SUM($S$141:CV141)</f>
        <v>40764.585009714232</v>
      </c>
      <c r="CW143" s="33">
        <f>SUM($S$141:CW141)</f>
        <v>41544.085954664231</v>
      </c>
      <c r="CX143" s="33">
        <f>SUM($S$141:CX141)</f>
        <v>42323.586899614231</v>
      </c>
      <c r="CY143" s="33">
        <f>SUM($S$141:CY141)</f>
        <v>43103.08784456423</v>
      </c>
      <c r="CZ143" s="33">
        <f>SUM($S$141:CZ141)</f>
        <v>43882.58878951423</v>
      </c>
      <c r="DA143" s="33">
        <f>SUM($S$141:DA141)</f>
        <v>44662.089734464229</v>
      </c>
      <c r="DB143" s="33">
        <f>SUM($S$141:DB141)</f>
        <v>45441.590679414228</v>
      </c>
      <c r="DC143" s="33">
        <f>SUM($S$141:DC141)</f>
        <v>46221.091624364228</v>
      </c>
      <c r="DD143" s="33">
        <f>SUM($S$141:DD141)</f>
        <v>47000.592569314227</v>
      </c>
      <c r="DE143" s="33">
        <f>SUM($S$141:DE141)</f>
        <v>47780.093514264227</v>
      </c>
      <c r="DF143" s="33">
        <f>SUM($S$141:DF141)</f>
        <v>48559.594459214226</v>
      </c>
      <c r="DG143" s="33">
        <f>SUM($S$141:DG141)</f>
        <v>49339.095404164225</v>
      </c>
      <c r="DH143" s="33">
        <f>SUM($S$141:DH141)</f>
        <v>50228.070380322504</v>
      </c>
      <c r="DI143" s="33">
        <f>SUM($S$141:DI141)</f>
        <v>51233.582228412175</v>
      </c>
      <c r="DJ143" s="33">
        <f>SUM($S$141:DJ141)</f>
        <v>52239.094076501846</v>
      </c>
      <c r="DK143" s="33">
        <f>SUM($S$141:DK141)</f>
        <v>53456.491146284956</v>
      </c>
      <c r="DL143" s="33">
        <f>SUM($S$141:DL141)</f>
        <v>54673.888216068066</v>
      </c>
      <c r="DM143" s="33">
        <f>SUM($S$141:DM141)</f>
        <v>55891.285285851176</v>
      </c>
      <c r="DN143" s="33">
        <f>SUM($S$141:DN141)</f>
        <v>57108.682355634286</v>
      </c>
      <c r="DO143" s="33">
        <f>SUM($S$141:DO141)</f>
        <v>58326.079425417396</v>
      </c>
      <c r="DP143" s="33">
        <f>SUM($S$141:DP141)</f>
        <v>59543.476495200506</v>
      </c>
      <c r="DQ143" s="33">
        <f>SUM($S$141:DQ141)</f>
        <v>60760.873564983616</v>
      </c>
      <c r="DR143" s="33">
        <f>SUM($S$141:DR141)</f>
        <v>61978.270634766726</v>
      </c>
      <c r="DS143" s="33">
        <f>SUM($S$141:DS141)</f>
        <v>63195.667704549836</v>
      </c>
      <c r="DT143" s="33">
        <f>SUM($S$141:DT141)</f>
        <v>64413.064774332946</v>
      </c>
      <c r="DU143" s="33">
        <f>SUM($S$141:DU141)</f>
        <v>65630.461844116056</v>
      </c>
      <c r="DV143" s="33">
        <f>SUM($S$141:DV141)</f>
        <v>66847.858913899167</v>
      </c>
      <c r="DW143" s="33">
        <f>SUM($S$141:DW141)</f>
        <v>68065.255983682277</v>
      </c>
      <c r="DX143" s="33">
        <f>SUM($S$141:DX141)</f>
        <v>69282.653053465387</v>
      </c>
      <c r="DY143" s="33">
        <f>SUM($S$141:DY141)</f>
        <v>70500.050123248497</v>
      </c>
      <c r="DZ143" s="33">
        <f>SUM($S$141:DZ141)</f>
        <v>71717.447193031607</v>
      </c>
      <c r="EA143" s="33">
        <f>SUM($S$141:EA141)</f>
        <v>72934.844262814717</v>
      </c>
      <c r="EB143" s="33">
        <f>SUM($S$141:EB141)</f>
        <v>74152.241332597827</v>
      </c>
      <c r="EC143" s="33">
        <f>SUM($S$141:EC141)</f>
        <v>75369.638402380937</v>
      </c>
      <c r="ED143" s="33">
        <f>SUM($S$141:ED141)</f>
        <v>76587.035472164047</v>
      </c>
      <c r="EE143" s="33">
        <f>SUM($S$141:EE141)</f>
        <v>77804.432541947157</v>
      </c>
      <c r="EF143" s="33">
        <f>SUM($S$141:EF141)</f>
        <v>79021.829611730267</v>
      </c>
      <c r="EG143" s="33">
        <f>SUM($S$141:EG141)</f>
        <v>80239.226681513377</v>
      </c>
      <c r="EH143" s="33">
        <f>SUM($S$141:EH141)</f>
        <v>81456.623751296487</v>
      </c>
      <c r="EI143" s="33">
        <f>SUM($S$141:EI141)</f>
        <v>82674.020821079597</v>
      </c>
      <c r="EJ143" s="3"/>
      <c r="EK143" s="3"/>
    </row>
    <row r="144" spans="1:14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2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</row>
    <row r="145" spans="1:141" x14ac:dyDescent="0.25">
      <c r="A145" s="3"/>
      <c r="B145" s="3"/>
      <c r="C145" s="3"/>
      <c r="D145" s="3"/>
      <c r="E145" s="3"/>
      <c r="F145" s="10" t="str">
        <f>KPI!$F$156</f>
        <v>Кред. задолж-ть перед поставщиками СиМ на конец периода</v>
      </c>
      <c r="G145" s="3"/>
      <c r="H145" s="3"/>
      <c r="I145" s="3"/>
      <c r="J145" s="5" t="str">
        <f>IF($F145="","",INDEX(KPI!$I$11:$I$275,SUMIFS(KPI!$E$11:$E$275,KPI!$F$11:$F$275,$F145)))</f>
        <v>тыс.руб.</v>
      </c>
      <c r="K145" s="3"/>
      <c r="L145" s="3"/>
      <c r="M145" s="3"/>
      <c r="N145" s="3"/>
      <c r="O145" s="3"/>
      <c r="P145" s="3"/>
      <c r="Q145" s="12"/>
      <c r="R145" s="3"/>
      <c r="S145" s="55"/>
      <c r="T145" s="33">
        <f>IF(T$9="",0,IF(OR(T$9="",DAY(EOMONTH(T$9,0))=0),0,IF((T$41-((SUMIFS(условия!$194:$194,условия!$8:$8,"&lt;="&amp;T$9,условия!$9:$9,"&gt;="&amp;T$9)/DAY(EOMONTH(T$9,0)))*2*T$41-S145))&lt;0,S145+T$41,IF((SUMIFS(условия!$194:$194,условия!$8:$8,"&lt;="&amp;T$9,условия!$9:$9,"&gt;="&amp;T$9)/DAY(EOMONTH(T$9,0)))*2*T$41-S145&lt;0,0,(SUMIFS(условия!$194:$194,условия!$8:$8,"&lt;="&amp;T$9,условия!$9:$9,"&gt;="&amp;T$9)/DAY(EOMONTH(T$9,0)))*2*T$41-S145))))</f>
        <v>0</v>
      </c>
      <c r="U145" s="33">
        <f>IF(U$9="",0,IF(OR(U$9="",DAY(EOMONTH(U$9,0))=0),0,IF((U$41-((SUMIFS(условия!$194:$194,условия!$8:$8,"&lt;="&amp;U$9,условия!$9:$9,"&gt;="&amp;U$9)/DAY(EOMONTH(U$9,0)))*2*U$41-T145))&lt;0,T145+U$41,IF((SUMIFS(условия!$194:$194,условия!$8:$8,"&lt;="&amp;U$9,условия!$9:$9,"&gt;="&amp;U$9)/DAY(EOMONTH(U$9,0)))*2*U$41-T145&lt;0,0,(SUMIFS(условия!$194:$194,условия!$8:$8,"&lt;="&amp;U$9,условия!$9:$9,"&gt;="&amp;U$9)/DAY(EOMONTH(U$9,0)))*2*U$41-T145))))</f>
        <v>0</v>
      </c>
      <c r="V145" s="33">
        <f>IF(V$9="",0,IF(OR(V$9="",DAY(EOMONTH(V$9,0))=0),0,IF((V$41-((SUMIFS(условия!$194:$194,условия!$8:$8,"&lt;="&amp;V$9,условия!$9:$9,"&gt;="&amp;V$9)/DAY(EOMONTH(V$9,0)))*2*V$41-U145))&lt;0,U145+V$41,IF((SUMIFS(условия!$194:$194,условия!$8:$8,"&lt;="&amp;V$9,условия!$9:$9,"&gt;="&amp;V$9)/DAY(EOMONTH(V$9,0)))*2*V$41-U145&lt;0,0,(SUMIFS(условия!$194:$194,условия!$8:$8,"&lt;="&amp;V$9,условия!$9:$9,"&gt;="&amp;V$9)/DAY(EOMONTH(V$9,0)))*2*V$41-U145))))</f>
        <v>0</v>
      </c>
      <c r="W145" s="33">
        <f>IF(W$9="",0,IF(OR(W$9="",DAY(EOMONTH(W$9,0))=0),0,IF((W$41-((SUMIFS(условия!$194:$194,условия!$8:$8,"&lt;="&amp;W$9,условия!$9:$9,"&gt;="&amp;W$9)/DAY(EOMONTH(W$9,0)))*2*W$41-V145))&lt;0,V145+W$41,IF((SUMIFS(условия!$194:$194,условия!$8:$8,"&lt;="&amp;W$9,условия!$9:$9,"&gt;="&amp;W$9)/DAY(EOMONTH(W$9,0)))*2*W$41-V145&lt;0,0,(SUMIFS(условия!$194:$194,условия!$8:$8,"&lt;="&amp;W$9,условия!$9:$9,"&gt;="&amp;W$9)/DAY(EOMONTH(W$9,0)))*2*W$41-V145))))</f>
        <v>0</v>
      </c>
      <c r="X145" s="33">
        <f>IF(X$9="",0,IF(OR(X$9="",DAY(EOMONTH(X$9,0))=0),0,IF((X$41-((SUMIFS(условия!$194:$194,условия!$8:$8,"&lt;="&amp;X$9,условия!$9:$9,"&gt;="&amp;X$9)/DAY(EOMONTH(X$9,0)))*2*X$41-W145))&lt;0,W145+X$41,IF((SUMIFS(условия!$194:$194,условия!$8:$8,"&lt;="&amp;X$9,условия!$9:$9,"&gt;="&amp;X$9)/DAY(EOMONTH(X$9,0)))*2*X$41-W145&lt;0,0,(SUMIFS(условия!$194:$194,условия!$8:$8,"&lt;="&amp;X$9,условия!$9:$9,"&gt;="&amp;X$9)/DAY(EOMONTH(X$9,0)))*2*X$41-W145))))</f>
        <v>10559.560457856402</v>
      </c>
      <c r="Y145" s="33">
        <f>IF(Y$9="",0,IF(OR(Y$9="",DAY(EOMONTH(Y$9,0))=0),0,IF((Y$41-((SUMIFS(условия!$194:$194,условия!$8:$8,"&lt;="&amp;Y$9,условия!$9:$9,"&gt;="&amp;Y$9)/DAY(EOMONTH(Y$9,0)))*2*Y$41-X145))&lt;0,X145+Y$41,IF((SUMIFS(условия!$194:$194,условия!$8:$8,"&lt;="&amp;Y$9,условия!$9:$9,"&gt;="&amp;Y$9)/DAY(EOMONTH(Y$9,0)))*2*Y$41-X145&lt;0,0,(SUMIFS(условия!$194:$194,условия!$8:$8,"&lt;="&amp;Y$9,условия!$9:$9,"&gt;="&amp;Y$9)/DAY(EOMONTH(Y$9,0)))*2*Y$41-X145))))</f>
        <v>0</v>
      </c>
      <c r="Z145" s="33">
        <f>IF(Z$9="",0,IF(OR(Z$9="",DAY(EOMONTH(Z$9,0))=0),0,IF((Z$41-((SUMIFS(условия!$194:$194,условия!$8:$8,"&lt;="&amp;Z$9,условия!$9:$9,"&gt;="&amp;Z$9)/DAY(EOMONTH(Z$9,0)))*2*Z$41-Y145))&lt;0,Y145+Z$41,IF((SUMIFS(условия!$194:$194,условия!$8:$8,"&lt;="&amp;Z$9,условия!$9:$9,"&gt;="&amp;Z$9)/DAY(EOMONTH(Z$9,0)))*2*Z$41-Y145&lt;0,0,(SUMIFS(условия!$194:$194,условия!$8:$8,"&lt;="&amp;Z$9,условия!$9:$9,"&gt;="&amp;Z$9)/DAY(EOMONTH(Z$9,0)))*2*Z$41-Y145))))</f>
        <v>0</v>
      </c>
      <c r="AA145" s="33">
        <f>IF(AA$9="",0,IF(OR(AA$9="",DAY(EOMONTH(AA$9,0))=0),0,IF((AA$41-((SUMIFS(условия!$194:$194,условия!$8:$8,"&lt;="&amp;AA$9,условия!$9:$9,"&gt;="&amp;AA$9)/DAY(EOMONTH(AA$9,0)))*2*AA$41-Z145))&lt;0,Z145+AA$41,IF((SUMIFS(условия!$194:$194,условия!$8:$8,"&lt;="&amp;AA$9,условия!$9:$9,"&gt;="&amp;AA$9)/DAY(EOMONTH(AA$9,0)))*2*AA$41-Z145&lt;0,0,(SUMIFS(условия!$194:$194,условия!$8:$8,"&lt;="&amp;AA$9,условия!$9:$9,"&gt;="&amp;AA$9)/DAY(EOMONTH(AA$9,0)))*2*AA$41-Z145))))</f>
        <v>0</v>
      </c>
      <c r="AB145" s="33">
        <f>IF(AB$9="",0,IF(OR(AB$9="",DAY(EOMONTH(AB$9,0))=0),0,IF((AB$41-((SUMIFS(условия!$194:$194,условия!$8:$8,"&lt;="&amp;AB$9,условия!$9:$9,"&gt;="&amp;AB$9)/DAY(EOMONTH(AB$9,0)))*2*AB$41-AA145))&lt;0,AA145+AB$41,IF((SUMIFS(условия!$194:$194,условия!$8:$8,"&lt;="&amp;AB$9,условия!$9:$9,"&gt;="&amp;AB$9)/DAY(EOMONTH(AB$9,0)))*2*AB$41-AA145&lt;0,0,(SUMIFS(условия!$194:$194,условия!$8:$8,"&lt;="&amp;AB$9,условия!$9:$9,"&gt;="&amp;AB$9)/DAY(EOMONTH(AB$9,0)))*2*AB$41-AA145))))</f>
        <v>0</v>
      </c>
      <c r="AC145" s="33">
        <f>IF(AC$9="",0,IF(OR(AC$9="",DAY(EOMONTH(AC$9,0))=0),0,IF((AC$41-((SUMIFS(условия!$194:$194,условия!$8:$8,"&lt;="&amp;AC$9,условия!$9:$9,"&gt;="&amp;AC$9)/DAY(EOMONTH(AC$9,0)))*2*AC$41-AB145))&lt;0,AB145+AC$41,IF((SUMIFS(условия!$194:$194,условия!$8:$8,"&lt;="&amp;AC$9,условия!$9:$9,"&gt;="&amp;AC$9)/DAY(EOMONTH(AC$9,0)))*2*AC$41-AB145&lt;0,0,(SUMIFS(условия!$194:$194,условия!$8:$8,"&lt;="&amp;AC$9,условия!$9:$9,"&gt;="&amp;AC$9)/DAY(EOMONTH(AC$9,0)))*2*AC$41-AB145))))</f>
        <v>1142.279375650367</v>
      </c>
      <c r="AD145" s="33">
        <f>IF(AD$9="",0,IF(OR(AD$9="",DAY(EOMONTH(AD$9,0))=0),0,IF((AD$41-((SUMIFS(условия!$194:$194,условия!$8:$8,"&lt;="&amp;AD$9,условия!$9:$9,"&gt;="&amp;AD$9)/DAY(EOMONTH(AD$9,0)))*2*AD$41-AC145))&lt;0,AC145+AD$41,IF((SUMIFS(условия!$194:$194,условия!$8:$8,"&lt;="&amp;AD$9,условия!$9:$9,"&gt;="&amp;AD$9)/DAY(EOMONTH(AD$9,0)))*2*AD$41-AC145&lt;0,0,(SUMIFS(условия!$194:$194,условия!$8:$8,"&lt;="&amp;AD$9,условия!$9:$9,"&gt;="&amp;AD$9)/DAY(EOMONTH(AD$9,0)))*2*AD$41-AC145))))</f>
        <v>6329.4255983350649</v>
      </c>
      <c r="AE145" s="33">
        <f>IF(AE$9="",0,IF(OR(AE$9="",DAY(EOMONTH(AE$9,0))=0),0,IF((AE$41-((SUMIFS(условия!$194:$194,условия!$8:$8,"&lt;="&amp;AE$9,условия!$9:$9,"&gt;="&amp;AE$9)/DAY(EOMONTH(AE$9,0)))*2*AE$41-AD145))&lt;0,AD145+AE$41,IF((SUMIFS(условия!$194:$194,условия!$8:$8,"&lt;="&amp;AE$9,условия!$9:$9,"&gt;="&amp;AE$9)/DAY(EOMONTH(AE$9,0)))*2*AE$41-AD145&lt;0,0,(SUMIFS(условия!$194:$194,условия!$8:$8,"&lt;="&amp;AE$9,условия!$9:$9,"&gt;="&amp;AE$9)/DAY(EOMONTH(AE$9,0)))*2*AE$41-AD145))))</f>
        <v>0</v>
      </c>
      <c r="AF145" s="33">
        <f>IF(AF$9="",0,IF(OR(AF$9="",DAY(EOMONTH(AF$9,0))=0),0,IF((AF$41-((SUMIFS(условия!$194:$194,условия!$8:$8,"&lt;="&amp;AF$9,условия!$9:$9,"&gt;="&amp;AF$9)/DAY(EOMONTH(AF$9,0)))*2*AF$41-AE145))&lt;0,AE145+AF$41,IF((SUMIFS(условия!$194:$194,условия!$8:$8,"&lt;="&amp;AF$9,условия!$9:$9,"&gt;="&amp;AF$9)/DAY(EOMONTH(AF$9,0)))*2*AF$41-AE145&lt;0,0,(SUMIFS(условия!$194:$194,условия!$8:$8,"&lt;="&amp;AF$9,условия!$9:$9,"&gt;="&amp;AF$9)/DAY(EOMONTH(AF$9,0)))*2*AF$41-AE145))))</f>
        <v>18764.182940104067</v>
      </c>
      <c r="AG145" s="33">
        <f>IF(AG$9="",0,IF(OR(AG$9="",DAY(EOMONTH(AG$9,0))=0),0,IF((AG$41-((SUMIFS(условия!$194:$194,условия!$8:$8,"&lt;="&amp;AG$9,условия!$9:$9,"&gt;="&amp;AG$9)/DAY(EOMONTH(AG$9,0)))*2*AG$41-AF145))&lt;0,AF145+AG$41,IF((SUMIFS(условия!$194:$194,условия!$8:$8,"&lt;="&amp;AG$9,условия!$9:$9,"&gt;="&amp;AG$9)/DAY(EOMONTH(AG$9,0)))*2*AG$41-AF145&lt;0,0,(SUMIFS(условия!$194:$194,условия!$8:$8,"&lt;="&amp;AG$9,условия!$9:$9,"&gt;="&amp;AG$9)/DAY(EOMONTH(AG$9,0)))*2*AG$41-AF145))))</f>
        <v>0</v>
      </c>
      <c r="AH145" s="33">
        <f>IF(AH$9="",0,IF(OR(AH$9="",DAY(EOMONTH(AH$9,0))=0),0,IF((AH$41-((SUMIFS(условия!$194:$194,условия!$8:$8,"&lt;="&amp;AH$9,условия!$9:$9,"&gt;="&amp;AH$9)/DAY(EOMONTH(AH$9,0)))*2*AH$41-AG145))&lt;0,AG145+AH$41,IF((SUMIFS(условия!$194:$194,условия!$8:$8,"&lt;="&amp;AH$9,условия!$9:$9,"&gt;="&amp;AH$9)/DAY(EOMONTH(AH$9,0)))*2*AH$41-AG145&lt;0,0,(SUMIFS(условия!$194:$194,условия!$8:$8,"&lt;="&amp;AH$9,условия!$9:$9,"&gt;="&amp;AH$9)/DAY(EOMONTH(AH$9,0)))*2*AH$41-AG145))))</f>
        <v>0</v>
      </c>
      <c r="AI145" s="33">
        <f>IF(AI$9="",0,IF(OR(AI$9="",DAY(EOMONTH(AI$9,0))=0),0,IF((AI$41-((SUMIFS(условия!$194:$194,условия!$8:$8,"&lt;="&amp;AI$9,условия!$9:$9,"&gt;="&amp;AI$9)/DAY(EOMONTH(AI$9,0)))*2*AI$41-AH145))&lt;0,AH145+AI$41,IF((SUMIFS(условия!$194:$194,условия!$8:$8,"&lt;="&amp;AI$9,условия!$9:$9,"&gt;="&amp;AI$9)/DAY(EOMONTH(AI$9,0)))*2*AI$41-AH145&lt;0,0,(SUMIFS(условия!$194:$194,условия!$8:$8,"&lt;="&amp;AI$9,условия!$9:$9,"&gt;="&amp;AI$9)/DAY(EOMONTH(AI$9,0)))*2*AI$41-AH145))))</f>
        <v>0</v>
      </c>
      <c r="AJ145" s="33">
        <f>IF(AJ$9="",0,IF(OR(AJ$9="",DAY(EOMONTH(AJ$9,0))=0),0,IF((AJ$41-((SUMIFS(условия!$194:$194,условия!$8:$8,"&lt;="&amp;AJ$9,условия!$9:$9,"&gt;="&amp;AJ$9)/DAY(EOMONTH(AJ$9,0)))*2*AJ$41-AI145))&lt;0,AI145+AJ$41,IF((SUMIFS(условия!$194:$194,условия!$8:$8,"&lt;="&amp;AJ$9,условия!$9:$9,"&gt;="&amp;AJ$9)/DAY(EOMONTH(AJ$9,0)))*2*AJ$41-AI145&lt;0,0,(SUMIFS(условия!$194:$194,условия!$8:$8,"&lt;="&amp;AJ$9,условия!$9:$9,"&gt;="&amp;AJ$9)/DAY(EOMONTH(AJ$9,0)))*2*AJ$41-AI145))))</f>
        <v>787.8743375650281</v>
      </c>
      <c r="AK145" s="33">
        <f>IF(AK$9="",0,IF(OR(AK$9="",DAY(EOMONTH(AK$9,0))=0),0,IF((AK$41-((SUMIFS(условия!$194:$194,условия!$8:$8,"&lt;="&amp;AK$9,условия!$9:$9,"&gt;="&amp;AK$9)/DAY(EOMONTH(AK$9,0)))*2*AK$41-AJ145))&lt;0,AJ145+AK$41,IF((SUMIFS(условия!$194:$194,условия!$8:$8,"&lt;="&amp;AK$9,условия!$9:$9,"&gt;="&amp;AK$9)/DAY(EOMONTH(AK$9,0)))*2*AK$41-AJ145&lt;0,0,(SUMIFS(условия!$194:$194,условия!$8:$8,"&lt;="&amp;AK$9,условия!$9:$9,"&gt;="&amp;AK$9)/DAY(EOMONTH(AK$9,0)))*2*AK$41-AJ145))))</f>
        <v>5539.9025481789731</v>
      </c>
      <c r="AL145" s="33">
        <f>IF(AL$9="",0,IF(OR(AL$9="",DAY(EOMONTH(AL$9,0))=0),0,IF((AL$41-((SUMIFS(условия!$194:$194,условия!$8:$8,"&lt;="&amp;AL$9,условия!$9:$9,"&gt;="&amp;AL$9)/DAY(EOMONTH(AL$9,0)))*2*AL$41-AK145))&lt;0,AK145+AL$41,IF((SUMIFS(условия!$194:$194,условия!$8:$8,"&lt;="&amp;AL$9,условия!$9:$9,"&gt;="&amp;AL$9)/DAY(EOMONTH(AL$9,0)))*2*AL$41-AK145&lt;0,0,(SUMIFS(условия!$194:$194,условия!$8:$8,"&lt;="&amp;AL$9,условия!$9:$9,"&gt;="&amp;AL$9)/DAY(EOMONTH(AL$9,0)))*2*AL$41-AK145))))</f>
        <v>0</v>
      </c>
      <c r="AM145" s="33">
        <f>IF(AM$9="",0,IF(OR(AM$9="",DAY(EOMONTH(AM$9,0))=0),0,IF((AM$41-((SUMIFS(условия!$194:$194,условия!$8:$8,"&lt;="&amp;AM$9,условия!$9:$9,"&gt;="&amp;AM$9)/DAY(EOMONTH(AM$9,0)))*2*AM$41-AL145))&lt;0,AL145+AM$41,IF((SUMIFS(условия!$194:$194,условия!$8:$8,"&lt;="&amp;AM$9,условия!$9:$9,"&gt;="&amp;AM$9)/DAY(EOMONTH(AM$9,0)))*2*AM$41-AL145&lt;0,0,(SUMIFS(условия!$194:$194,условия!$8:$8,"&lt;="&amp;AM$9,условия!$9:$9,"&gt;="&amp;AM$9)/DAY(EOMONTH(AM$9,0)))*2*AM$41-AL145))))</f>
        <v>10898.822196212266</v>
      </c>
      <c r="AN145" s="33">
        <f>IF(AN$9="",0,IF(OR(AN$9="",DAY(EOMONTH(AN$9,0))=0),0,IF((AN$41-((SUMIFS(условия!$194:$194,условия!$8:$8,"&lt;="&amp;AN$9,условия!$9:$9,"&gt;="&amp;AN$9)/DAY(EOMONTH(AN$9,0)))*2*AN$41-AM145))&lt;0,AM145+AN$41,IF((SUMIFS(условия!$194:$194,условия!$8:$8,"&lt;="&amp;AN$9,условия!$9:$9,"&gt;="&amp;AN$9)/DAY(EOMONTH(AN$9,0)))*2*AN$41-AM145&lt;0,0,(SUMIFS(условия!$194:$194,условия!$8:$8,"&lt;="&amp;AN$9,условия!$9:$9,"&gt;="&amp;AN$9)/DAY(EOMONTH(AN$9,0)))*2*AN$41-AM145))))</f>
        <v>7694.4378352549757</v>
      </c>
      <c r="AO145" s="33">
        <f>IF(AO$9="",0,IF(OR(AO$9="",DAY(EOMONTH(AO$9,0))=0),0,IF((AO$41-((SUMIFS(условия!$194:$194,условия!$8:$8,"&lt;="&amp;AO$9,условия!$9:$9,"&gt;="&amp;AO$9)/DAY(EOMONTH(AO$9,0)))*2*AO$41-AN145))&lt;0,AN145+AO$41,IF((SUMIFS(условия!$194:$194,условия!$8:$8,"&lt;="&amp;AO$9,условия!$9:$9,"&gt;="&amp;AO$9)/DAY(EOMONTH(AO$9,0)))*2*AO$41-AN145&lt;0,0,(SUMIFS(условия!$194:$194,условия!$8:$8,"&lt;="&amp;AO$9,условия!$9:$9,"&gt;="&amp;AO$9)/DAY(EOMONTH(AO$9,0)))*2*AO$41-AN145))))</f>
        <v>0</v>
      </c>
      <c r="AP145" s="33">
        <f>IF(AP$9="",0,IF(OR(AP$9="",DAY(EOMONTH(AP$9,0))=0),0,IF((AP$41-((SUMIFS(условия!$194:$194,условия!$8:$8,"&lt;="&amp;AP$9,условия!$9:$9,"&gt;="&amp;AP$9)/DAY(EOMONTH(AP$9,0)))*2*AP$41-AO145))&lt;0,AO145+AP$41,IF((SUMIFS(условия!$194:$194,условия!$8:$8,"&lt;="&amp;AP$9,условия!$9:$9,"&gt;="&amp;AP$9)/DAY(EOMONTH(AP$9,0)))*2*AP$41-AO145&lt;0,0,(SUMIFS(условия!$194:$194,условия!$8:$8,"&lt;="&amp;AP$9,условия!$9:$9,"&gt;="&amp;AP$9)/DAY(EOMONTH(AP$9,0)))*2*AP$41-AO145))))</f>
        <v>35923.127042397522</v>
      </c>
      <c r="AQ145" s="33">
        <f>IF(AQ$9="",0,IF(OR(AQ$9="",DAY(EOMONTH(AQ$9,0))=0),0,IF((AQ$41-((SUMIFS(условия!$194:$194,условия!$8:$8,"&lt;="&amp;AQ$9,условия!$9:$9,"&gt;="&amp;AQ$9)/DAY(EOMONTH(AQ$9,0)))*2*AQ$41-AP145))&lt;0,AP145+AQ$41,IF((SUMIFS(условия!$194:$194,условия!$8:$8,"&lt;="&amp;AQ$9,условия!$9:$9,"&gt;="&amp;AQ$9)/DAY(EOMONTH(AQ$9,0)))*2*AQ$41-AP145&lt;0,0,(SUMIFS(условия!$194:$194,условия!$8:$8,"&lt;="&amp;AQ$9,условия!$9:$9,"&gt;="&amp;AQ$9)/DAY(EOMONTH(AQ$9,0)))*2*AQ$41-AP145))))</f>
        <v>0</v>
      </c>
      <c r="AR145" s="33">
        <f>IF(AR$9="",0,IF(OR(AR$9="",DAY(EOMONTH(AR$9,0))=0),0,IF((AR$41-((SUMIFS(условия!$194:$194,условия!$8:$8,"&lt;="&amp;AR$9,условия!$9:$9,"&gt;="&amp;AR$9)/DAY(EOMONTH(AR$9,0)))*2*AR$41-AQ145))&lt;0,AQ145+AR$41,IF((SUMIFS(условия!$194:$194,условия!$8:$8,"&lt;="&amp;AR$9,условия!$9:$9,"&gt;="&amp;AR$9)/DAY(EOMONTH(AR$9,0)))*2*AR$41-AQ145&lt;0,0,(SUMIFS(условия!$194:$194,условия!$8:$8,"&lt;="&amp;AR$9,условия!$9:$9,"&gt;="&amp;AR$9)/DAY(EOMONTH(AR$9,0)))*2*AR$41-AQ145))))</f>
        <v>16618.692973485926</v>
      </c>
      <c r="AS145" s="33">
        <f>IF(AS$9="",0,IF(OR(AS$9="",DAY(EOMONTH(AS$9,0))=0),0,IF((AS$41-((SUMIFS(условия!$194:$194,условия!$8:$8,"&lt;="&amp;AS$9,условия!$9:$9,"&gt;="&amp;AS$9)/DAY(EOMONTH(AS$9,0)))*2*AS$41-AR145))&lt;0,AR145+AS$41,IF((SUMIFS(условия!$194:$194,условия!$8:$8,"&lt;="&amp;AS$9,условия!$9:$9,"&gt;="&amp;AS$9)/DAY(EOMONTH(AS$9,0)))*2*AS$41-AR145&lt;0,0,(SUMIFS(условия!$194:$194,условия!$8:$8,"&lt;="&amp;AS$9,условия!$9:$9,"&gt;="&amp;AS$9)/DAY(EOMONTH(AS$9,0)))*2*AS$41-AR145))))</f>
        <v>0</v>
      </c>
      <c r="AT145" s="33">
        <f>IF(AT$9="",0,IF(OR(AT$9="",DAY(EOMONTH(AT$9,0))=0),0,IF((AT$41-((SUMIFS(условия!$194:$194,условия!$8:$8,"&lt;="&amp;AT$9,условия!$9:$9,"&gt;="&amp;AT$9)/DAY(EOMONTH(AT$9,0)))*2*AT$41-AS145))&lt;0,AS145+AT$41,IF((SUMIFS(условия!$194:$194,условия!$8:$8,"&lt;="&amp;AT$9,условия!$9:$9,"&gt;="&amp;AT$9)/DAY(EOMONTH(AT$9,0)))*2*AT$41-AS145&lt;0,0,(SUMIFS(условия!$194:$194,условия!$8:$8,"&lt;="&amp;AT$9,условия!$9:$9,"&gt;="&amp;AT$9)/DAY(EOMONTH(AT$9,0)))*2*AT$41-AS145))))</f>
        <v>32205.622824224782</v>
      </c>
      <c r="AU145" s="33">
        <f>IF(AU$9="",0,IF(OR(AU$9="",DAY(EOMONTH(AU$9,0))=0),0,IF((AU$41-((SUMIFS(условия!$194:$194,условия!$8:$8,"&lt;="&amp;AU$9,условия!$9:$9,"&gt;="&amp;AU$9)/DAY(EOMONTH(AU$9,0)))*2*AU$41-AT145))&lt;0,AT145+AU$41,IF((SUMIFS(условия!$194:$194,условия!$8:$8,"&lt;="&amp;AU$9,условия!$9:$9,"&gt;="&amp;AU$9)/DAY(EOMONTH(AU$9,0)))*2*AU$41-AT145&lt;0,0,(SUMIFS(условия!$194:$194,условия!$8:$8,"&lt;="&amp;AU$9,условия!$9:$9,"&gt;="&amp;AU$9)/DAY(EOMONTH(AU$9,0)))*2*AU$41-AT145))))</f>
        <v>0</v>
      </c>
      <c r="AV145" s="33">
        <f>IF(AV$9="",0,IF(OR(AV$9="",DAY(EOMONTH(AV$9,0))=0),0,IF((AV$41-((SUMIFS(условия!$194:$194,условия!$8:$8,"&lt;="&amp;AV$9,условия!$9:$9,"&gt;="&amp;AV$9)/DAY(EOMONTH(AV$9,0)))*2*AV$41-AU145))&lt;0,AU145+AV$41,IF((SUMIFS(условия!$194:$194,условия!$8:$8,"&lt;="&amp;AV$9,условия!$9:$9,"&gt;="&amp;AV$9)/DAY(EOMONTH(AV$9,0)))*2*AV$41-AU145&lt;0,0,(SUMIFS(условия!$194:$194,условия!$8:$8,"&lt;="&amp;AV$9,условия!$9:$9,"&gt;="&amp;AV$9)/DAY(EOMONTH(AV$9,0)))*2*AV$41-AU145))))</f>
        <v>0</v>
      </c>
      <c r="AW145" s="33">
        <f>IF(AW$9="",0,IF(OR(AW$9="",DAY(EOMONTH(AW$9,0))=0),0,IF((AW$41-((SUMIFS(условия!$194:$194,условия!$8:$8,"&lt;="&amp;AW$9,условия!$9:$9,"&gt;="&amp;AW$9)/DAY(EOMONTH(AW$9,0)))*2*AW$41-AV145))&lt;0,AV145+AW$41,IF((SUMIFS(условия!$194:$194,условия!$8:$8,"&lt;="&amp;AW$9,условия!$9:$9,"&gt;="&amp;AW$9)/DAY(EOMONTH(AW$9,0)))*2*AW$41-AV145&lt;0,0,(SUMIFS(условия!$194:$194,условия!$8:$8,"&lt;="&amp;AW$9,условия!$9:$9,"&gt;="&amp;AW$9)/DAY(EOMONTH(AW$9,0)))*2*AW$41-AV145))))</f>
        <v>0</v>
      </c>
      <c r="AX145" s="33">
        <f>IF(AX$9="",0,IF(OR(AX$9="",DAY(EOMONTH(AX$9,0))=0),0,IF((AX$41-((SUMIFS(условия!$194:$194,условия!$8:$8,"&lt;="&amp;AX$9,условия!$9:$9,"&gt;="&amp;AX$9)/DAY(EOMONTH(AX$9,0)))*2*AX$41-AW145))&lt;0,AW145+AX$41,IF((SUMIFS(условия!$194:$194,условия!$8:$8,"&lt;="&amp;AX$9,условия!$9:$9,"&gt;="&amp;AX$9)/DAY(EOMONTH(AX$9,0)))*2*AX$41-AW145&lt;0,0,(SUMIFS(условия!$194:$194,условия!$8:$8,"&lt;="&amp;AX$9,условия!$9:$9,"&gt;="&amp;AX$9)/DAY(EOMONTH(AX$9,0)))*2*AX$41-AW145))))</f>
        <v>10986.793505032247</v>
      </c>
      <c r="AY145" s="33">
        <f>IF(AY$9="",0,IF(OR(AY$9="",DAY(EOMONTH(AY$9,0))=0),0,IF((AY$41-((SUMIFS(условия!$194:$194,условия!$8:$8,"&lt;="&amp;AY$9,условия!$9:$9,"&gt;="&amp;AY$9)/DAY(EOMONTH(AY$9,0)))*2*AY$41-AX145))&lt;0,AX145+AY$41,IF((SUMIFS(условия!$194:$194,условия!$8:$8,"&lt;="&amp;AY$9,условия!$9:$9,"&gt;="&amp;AY$9)/DAY(EOMONTH(AY$9,0)))*2*AY$41-AX145&lt;0,0,(SUMIFS(условия!$194:$194,условия!$8:$8,"&lt;="&amp;AY$9,условия!$9:$9,"&gt;="&amp;AY$9)/DAY(EOMONTH(AY$9,0)))*2*AY$41-AX145))))</f>
        <v>25761.934849546822</v>
      </c>
      <c r="AZ145" s="33">
        <f>IF(AZ$9="",0,IF(OR(AZ$9="",DAY(EOMONTH(AZ$9,0))=0),0,IF((AZ$41-((SUMIFS(условия!$194:$194,условия!$8:$8,"&lt;="&amp;AZ$9,условия!$9:$9,"&gt;="&amp;AZ$9)/DAY(EOMONTH(AZ$9,0)))*2*AZ$41-AY145))&lt;0,AY145+AZ$41,IF((SUMIFS(условия!$194:$194,условия!$8:$8,"&lt;="&amp;AZ$9,условия!$9:$9,"&gt;="&amp;AZ$9)/DAY(EOMONTH(AZ$9,0)))*2*AZ$41-AY145&lt;0,0,(SUMIFS(условия!$194:$194,условия!$8:$8,"&lt;="&amp;AZ$9,условия!$9:$9,"&gt;="&amp;AZ$9)/DAY(EOMONTH(AZ$9,0)))*2*AZ$41-AY145))))</f>
        <v>15695.928155529466</v>
      </c>
      <c r="BA145" s="33">
        <f>IF(BA$9="",0,IF(OR(BA$9="",DAY(EOMONTH(BA$9,0))=0),0,IF((BA$41-((SUMIFS(условия!$194:$194,условия!$8:$8,"&lt;="&amp;BA$9,условия!$9:$9,"&gt;="&amp;BA$9)/DAY(EOMONTH(BA$9,0)))*2*BA$41-AZ145))&lt;0,AZ145+BA$41,IF((SUMIFS(условия!$194:$194,условия!$8:$8,"&lt;="&amp;BA$9,условия!$9:$9,"&gt;="&amp;BA$9)/DAY(EOMONTH(BA$9,0)))*2*BA$41-AZ145&lt;0,0,(SUMIFS(условия!$194:$194,условия!$8:$8,"&lt;="&amp;BA$9,условия!$9:$9,"&gt;="&amp;BA$9)/DAY(EOMONTH(BA$9,0)))*2*BA$41-AZ145))))</f>
        <v>0</v>
      </c>
      <c r="BB145" s="33">
        <f>IF(BB$9="",0,IF(OR(BB$9="",DAY(EOMONTH(BB$9,0))=0),0,IF((BB$41-((SUMIFS(условия!$194:$194,условия!$8:$8,"&lt;="&amp;BB$9,условия!$9:$9,"&gt;="&amp;BB$9)/DAY(EOMONTH(BB$9,0)))*2*BB$41-BA145))&lt;0,BA145+BB$41,IF((SUMIFS(условия!$194:$194,условия!$8:$8,"&lt;="&amp;BB$9,условия!$9:$9,"&gt;="&amp;BB$9)/DAY(EOMONTH(BB$9,0)))*2*BB$41-BA145&lt;0,0,(SUMIFS(условия!$194:$194,условия!$8:$8,"&lt;="&amp;BB$9,условия!$9:$9,"&gt;="&amp;BB$9)/DAY(EOMONTH(BB$9,0)))*2*BB$41-BA145))))</f>
        <v>87300.297543019187</v>
      </c>
      <c r="BC145" s="33">
        <f>IF(BC$9="",0,IF(OR(BC$9="",DAY(EOMONTH(BC$9,0))=0),0,IF((BC$41-((SUMIFS(условия!$194:$194,условия!$8:$8,"&lt;="&amp;BC$9,условия!$9:$9,"&gt;="&amp;BC$9)/DAY(EOMONTH(BC$9,0)))*2*BC$41-BB145))&lt;0,BB145+BC$41,IF((SUMIFS(условия!$194:$194,условия!$8:$8,"&lt;="&amp;BC$9,условия!$9:$9,"&gt;="&amp;BC$9)/DAY(EOMONTH(BC$9,0)))*2*BC$41-BB145&lt;0,0,(SUMIFS(условия!$194:$194,условия!$8:$8,"&lt;="&amp;BC$9,условия!$9:$9,"&gt;="&amp;BC$9)/DAY(EOMONTH(BC$9,0)))*2*BC$41-BB145))))</f>
        <v>0</v>
      </c>
      <c r="BD145" s="33">
        <f>IF(BD$9="",0,IF(OR(BD$9="",DAY(EOMONTH(BD$9,0))=0),0,IF((BD$41-((SUMIFS(условия!$194:$194,условия!$8:$8,"&lt;="&amp;BD$9,условия!$9:$9,"&gt;="&amp;BD$9)/DAY(EOMONTH(BD$9,0)))*2*BD$41-BC145))&lt;0,BC145+BD$41,IF((SUMIFS(условия!$194:$194,условия!$8:$8,"&lt;="&amp;BD$9,условия!$9:$9,"&gt;="&amp;BD$9)/DAY(EOMONTH(BD$9,0)))*2*BD$41-BC145&lt;0,0,(SUMIFS(условия!$194:$194,условия!$8:$8,"&lt;="&amp;BD$9,условия!$9:$9,"&gt;="&amp;BD$9)/DAY(EOMONTH(BD$9,0)))*2*BD$41-BC145))))</f>
        <v>0</v>
      </c>
      <c r="BE145" s="33">
        <f>IF(BE$9="",0,IF(OR(BE$9="",DAY(EOMONTH(BE$9,0))=0),0,IF((BE$41-((SUMIFS(условия!$194:$194,условия!$8:$8,"&lt;="&amp;BE$9,условия!$9:$9,"&gt;="&amp;BE$9)/DAY(EOMONTH(BE$9,0)))*2*BE$41-BD145))&lt;0,BD145+BE$41,IF((SUMIFS(условия!$194:$194,условия!$8:$8,"&lt;="&amp;BE$9,условия!$9:$9,"&gt;="&amp;BE$9)/DAY(EOMONTH(BE$9,0)))*2*BE$41-BD145&lt;0,0,(SUMIFS(условия!$194:$194,условия!$8:$8,"&lt;="&amp;BE$9,условия!$9:$9,"&gt;="&amp;BE$9)/DAY(EOMONTH(BE$9,0)))*2*BE$41-BD145))))</f>
        <v>0</v>
      </c>
      <c r="BF145" s="33">
        <f>IF(BF$9="",0,IF(OR(BF$9="",DAY(EOMONTH(BF$9,0))=0),0,IF((BF$41-((SUMIFS(условия!$194:$194,условия!$8:$8,"&lt;="&amp;BF$9,условия!$9:$9,"&gt;="&amp;BF$9)/DAY(EOMONTH(BF$9,0)))*2*BF$41-BE145))&lt;0,BE145+BF$41,IF((SUMIFS(условия!$194:$194,условия!$8:$8,"&lt;="&amp;BF$9,условия!$9:$9,"&gt;="&amp;BF$9)/DAY(EOMONTH(BF$9,0)))*2*BF$41-BE145&lt;0,0,(SUMIFS(условия!$194:$194,условия!$8:$8,"&lt;="&amp;BF$9,условия!$9:$9,"&gt;="&amp;BF$9)/DAY(EOMONTH(BF$9,0)))*2*BF$41-BE145))))</f>
        <v>68787.106280257125</v>
      </c>
      <c r="BG145" s="33">
        <f>IF(BG$9="",0,IF(OR(BG$9="",DAY(EOMONTH(BG$9,0))=0),0,IF((BG$41-((SUMIFS(условия!$194:$194,условия!$8:$8,"&lt;="&amp;BG$9,условия!$9:$9,"&gt;="&amp;BG$9)/DAY(EOMONTH(BG$9,0)))*2*BG$41-BF145))&lt;0,BF145+BG$41,IF((SUMIFS(условия!$194:$194,условия!$8:$8,"&lt;="&amp;BG$9,условия!$9:$9,"&gt;="&amp;BG$9)/DAY(EOMONTH(BG$9,0)))*2*BG$41-BF145&lt;0,0,(SUMIFS(условия!$194:$194,условия!$8:$8,"&lt;="&amp;BG$9,условия!$9:$9,"&gt;="&amp;BG$9)/DAY(EOMONTH(BG$9,0)))*2*BG$41-BF145))))</f>
        <v>0</v>
      </c>
      <c r="BH145" s="33">
        <f>IF(BH$9="",0,IF(OR(BH$9="",DAY(EOMONTH(BH$9,0))=0),0,IF((BH$41-((SUMIFS(условия!$194:$194,условия!$8:$8,"&lt;="&amp;BH$9,условия!$9:$9,"&gt;="&amp;BH$9)/DAY(EOMONTH(BH$9,0)))*2*BH$41-BG145))&lt;0,BG145+BH$41,IF((SUMIFS(условия!$194:$194,условия!$8:$8,"&lt;="&amp;BH$9,условия!$9:$9,"&gt;="&amp;BH$9)/DAY(EOMONTH(BH$9,0)))*2*BH$41-BG145&lt;0,0,(SUMIFS(условия!$194:$194,условия!$8:$8,"&lt;="&amp;BH$9,условия!$9:$9,"&gt;="&amp;BH$9)/DAY(EOMONTH(BH$9,0)))*2*BH$41-BG145))))</f>
        <v>0</v>
      </c>
      <c r="BI145" s="33">
        <f>IF(BI$9="",0,IF(OR(BI$9="",DAY(EOMONTH(BI$9,0))=0),0,IF((BI$41-((SUMIFS(условия!$194:$194,условия!$8:$8,"&lt;="&amp;BI$9,условия!$9:$9,"&gt;="&amp;BI$9)/DAY(EOMONTH(BI$9,0)))*2*BI$41-BH145))&lt;0,BH145+BI$41,IF((SUMIFS(условия!$194:$194,условия!$8:$8,"&lt;="&amp;BI$9,условия!$9:$9,"&gt;="&amp;BI$9)/DAY(EOMONTH(BI$9,0)))*2*BI$41-BH145&lt;0,0,(SUMIFS(условия!$194:$194,условия!$8:$8,"&lt;="&amp;BI$9,условия!$9:$9,"&gt;="&amp;BI$9)/DAY(EOMONTH(BI$9,0)))*2*BI$41-BH145))))</f>
        <v>21231.045051624602</v>
      </c>
      <c r="BJ145" s="33">
        <f>IF(BJ$9="",0,IF(OR(BJ$9="",DAY(EOMONTH(BJ$9,0))=0),0,IF((BJ$41-((SUMIFS(условия!$194:$194,условия!$8:$8,"&lt;="&amp;BJ$9,условия!$9:$9,"&gt;="&amp;BJ$9)/DAY(EOMONTH(BJ$9,0)))*2*BJ$41-BI145))&lt;0,BI145+BJ$41,IF((SUMIFS(условия!$194:$194,условия!$8:$8,"&lt;="&amp;BJ$9,условия!$9:$9,"&gt;="&amp;BJ$9)/DAY(EOMONTH(BJ$9,0)))*2*BJ$41-BI145&lt;0,0,(SUMIFS(условия!$194:$194,условия!$8:$8,"&lt;="&amp;BJ$9,условия!$9:$9,"&gt;="&amp;BJ$9)/DAY(EOMONTH(BJ$9,0)))*2*BJ$41-BI145))))</f>
        <v>0</v>
      </c>
      <c r="BK145" s="33">
        <f>IF(BK$9="",0,IF(OR(BK$9="",DAY(EOMONTH(BK$9,0))=0),0,IF((BK$41-((SUMIFS(условия!$194:$194,условия!$8:$8,"&lt;="&amp;BK$9,условия!$9:$9,"&gt;="&amp;BK$9)/DAY(EOMONTH(BK$9,0)))*2*BK$41-BJ145))&lt;0,BJ145+BK$41,IF((SUMIFS(условия!$194:$194,условия!$8:$8,"&lt;="&amp;BK$9,условия!$9:$9,"&gt;="&amp;BK$9)/DAY(EOMONTH(BK$9,0)))*2*BK$41-BJ145&lt;0,0,(SUMIFS(условия!$194:$194,условия!$8:$8,"&lt;="&amp;BK$9,условия!$9:$9,"&gt;="&amp;BK$9)/DAY(EOMONTH(BK$9,0)))*2*BK$41-BJ145))))</f>
        <v>80674.939706923848</v>
      </c>
      <c r="BL145" s="33">
        <f>IF(BL$9="",0,IF(OR(BL$9="",DAY(EOMONTH(BL$9,0))=0),0,IF((BL$41-((SUMIFS(условия!$194:$194,условия!$8:$8,"&lt;="&amp;BL$9,условия!$9:$9,"&gt;="&amp;BL$9)/DAY(EOMONTH(BL$9,0)))*2*BL$41-BK145))&lt;0,BK145+BL$41,IF((SUMIFS(условия!$194:$194,условия!$8:$8,"&lt;="&amp;BL$9,условия!$9:$9,"&gt;="&amp;BL$9)/DAY(EOMONTH(BL$9,0)))*2*BL$41-BK145&lt;0,0,(SUMIFS(условия!$194:$194,условия!$8:$8,"&lt;="&amp;BL$9,условия!$9:$9,"&gt;="&amp;BL$9)/DAY(EOMONTH(BL$9,0)))*2*BL$41-BK145))))</f>
        <v>0</v>
      </c>
      <c r="BM145" s="33">
        <f>IF(BM$9="",0,IF(OR(BM$9="",DAY(EOMONTH(BM$9,0))=0),0,IF((BM$41-((SUMIFS(условия!$194:$194,условия!$8:$8,"&lt;="&amp;BM$9,условия!$9:$9,"&gt;="&amp;BM$9)/DAY(EOMONTH(BM$9,0)))*2*BM$41-BL145))&lt;0,BL145+BM$41,IF((SUMIFS(условия!$194:$194,условия!$8:$8,"&lt;="&amp;BM$9,условия!$9:$9,"&gt;="&amp;BM$9)/DAY(EOMONTH(BM$9,0)))*2*BM$41-BL145&lt;0,0,(SUMIFS(условия!$194:$194,условия!$8:$8,"&lt;="&amp;BM$9,условия!$9:$9,"&gt;="&amp;BM$9)/DAY(EOMONTH(BM$9,0)))*2*BM$41-BL145))))</f>
        <v>98441.081073224064</v>
      </c>
      <c r="BN145" s="33">
        <f>IF(BN$9="",0,IF(OR(BN$9="",DAY(EOMONTH(BN$9,0))=0),0,IF((BN$41-((SUMIFS(условия!$194:$194,условия!$8:$8,"&lt;="&amp;BN$9,условия!$9:$9,"&gt;="&amp;BN$9)/DAY(EOMONTH(BN$9,0)))*2*BN$41-BM145))&lt;0,BM145+BN$41,IF((SUMIFS(условия!$194:$194,условия!$8:$8,"&lt;="&amp;BN$9,условия!$9:$9,"&gt;="&amp;BN$9)/DAY(EOMONTH(BN$9,0)))*2*BN$41-BM145&lt;0,0,(SUMIFS(условия!$194:$194,условия!$8:$8,"&lt;="&amp;BN$9,условия!$9:$9,"&gt;="&amp;BN$9)/DAY(EOMONTH(BN$9,0)))*2*BN$41-BM145))))</f>
        <v>0</v>
      </c>
      <c r="BO145" s="33">
        <f>IF(BO$9="",0,IF(OR(BO$9="",DAY(EOMONTH(BO$9,0))=0),0,IF((BO$41-((SUMIFS(условия!$194:$194,условия!$8:$8,"&lt;="&amp;BO$9,условия!$9:$9,"&gt;="&amp;BO$9)/DAY(EOMONTH(BO$9,0)))*2*BO$41-BN145))&lt;0,BN145+BO$41,IF((SUMIFS(условия!$194:$194,условия!$8:$8,"&lt;="&amp;BO$9,условия!$9:$9,"&gt;="&amp;BO$9)/DAY(EOMONTH(BO$9,0)))*2*BO$41-BN145&lt;0,0,(SUMIFS(условия!$194:$194,условия!$8:$8,"&lt;="&amp;BO$9,условия!$9:$9,"&gt;="&amp;BO$9)/DAY(EOMONTH(BO$9,0)))*2*BO$41-BN145))))</f>
        <v>0</v>
      </c>
      <c r="BP145" s="33">
        <f>IF(BP$9="",0,IF(OR(BP$9="",DAY(EOMONTH(BP$9,0))=0),0,IF((BP$41-((SUMIFS(условия!$194:$194,условия!$8:$8,"&lt;="&amp;BP$9,условия!$9:$9,"&gt;="&amp;BP$9)/DAY(EOMONTH(BP$9,0)))*2*BP$41-BO145))&lt;0,BO145+BP$41,IF((SUMIFS(условия!$194:$194,условия!$8:$8,"&lt;="&amp;BP$9,условия!$9:$9,"&gt;="&amp;BP$9)/DAY(EOMONTH(BP$9,0)))*2*BP$41-BO145&lt;0,0,(SUMIFS(условия!$194:$194,условия!$8:$8,"&lt;="&amp;BP$9,условия!$9:$9,"&gt;="&amp;BP$9)/DAY(EOMONTH(BP$9,0)))*2*BP$41-BO145))))</f>
        <v>6158.4622194366229</v>
      </c>
      <c r="BQ145" s="33">
        <f>IF(BQ$9="",0,IF(OR(BQ$9="",DAY(EOMONTH(BQ$9,0))=0),0,IF((BQ$41-((SUMIFS(условия!$194:$194,условия!$8:$8,"&lt;="&amp;BQ$9,условия!$9:$9,"&gt;="&amp;BQ$9)/DAY(EOMONTH(BQ$9,0)))*2*BQ$41-BP145))&lt;0,BP145+BQ$41,IF((SUMIFS(условия!$194:$194,условия!$8:$8,"&lt;="&amp;BQ$9,условия!$9:$9,"&gt;="&amp;BQ$9)/DAY(EOMONTH(BQ$9,0)))*2*BQ$41-BP145&lt;0,0,(SUMIFS(условия!$194:$194,условия!$8:$8,"&lt;="&amp;BQ$9,условия!$9:$9,"&gt;="&amp;BQ$9)/DAY(EOMONTH(BQ$9,0)))*2*BQ$41-BP145))))</f>
        <v>156668.48275079773</v>
      </c>
      <c r="BR145" s="33">
        <f>IF(BR$9="",0,IF(OR(BR$9="",DAY(EOMONTH(BR$9,0))=0),0,IF((BR$41-((SUMIFS(условия!$194:$194,условия!$8:$8,"&lt;="&amp;BR$9,условия!$9:$9,"&gt;="&amp;BR$9)/DAY(EOMONTH(BR$9,0)))*2*BR$41-BQ145))&lt;0,BQ145+BR$41,IF((SUMIFS(условия!$194:$194,условия!$8:$8,"&lt;="&amp;BR$9,условия!$9:$9,"&gt;="&amp;BR$9)/DAY(EOMONTH(BR$9,0)))*2*BR$41-BQ145&lt;0,0,(SUMIFS(условия!$194:$194,условия!$8:$8,"&lt;="&amp;BR$9,условия!$9:$9,"&gt;="&amp;BR$9)/DAY(EOMONTH(BR$9,0)))*2*BR$41-BQ145))))</f>
        <v>0</v>
      </c>
      <c r="BS145" s="33">
        <f>IF(BS$9="",0,IF(OR(BS$9="",DAY(EOMONTH(BS$9,0))=0),0,IF((BS$41-((SUMIFS(условия!$194:$194,условия!$8:$8,"&lt;="&amp;BS$9,условия!$9:$9,"&gt;="&amp;BS$9)/DAY(EOMONTH(BS$9,0)))*2*BS$41-BR145))&lt;0,BR145+BS$41,IF((SUMIFS(условия!$194:$194,условия!$8:$8,"&lt;="&amp;BS$9,условия!$9:$9,"&gt;="&amp;BS$9)/DAY(EOMONTH(BS$9,0)))*2*BS$41-BR145&lt;0,0,(SUMIFS(условия!$194:$194,условия!$8:$8,"&lt;="&amp;BS$9,условия!$9:$9,"&gt;="&amp;BS$9)/DAY(EOMONTH(BS$9,0)))*2*BS$41-BR145))))</f>
        <v>68750.041118111301</v>
      </c>
      <c r="BT145" s="33">
        <f>IF(BT$9="",0,IF(OR(BT$9="",DAY(EOMONTH(BT$9,0))=0),0,IF((BT$41-((SUMIFS(условия!$194:$194,условия!$8:$8,"&lt;="&amp;BT$9,условия!$9:$9,"&gt;="&amp;BT$9)/DAY(EOMONTH(BT$9,0)))*2*BT$41-BS145))&lt;0,BS145+BT$41,IF((SUMIFS(условия!$194:$194,условия!$8:$8,"&lt;="&amp;BT$9,условия!$9:$9,"&gt;="&amp;BT$9)/DAY(EOMONTH(BT$9,0)))*2*BT$41-BS145&lt;0,0,(SUMIFS(условия!$194:$194,условия!$8:$8,"&lt;="&amp;BT$9,условия!$9:$9,"&gt;="&amp;BT$9)/DAY(EOMONTH(BT$9,0)))*2*BT$41-BS145))))</f>
        <v>0</v>
      </c>
      <c r="BU145" s="33">
        <f>IF(BU$9="",0,IF(OR(BU$9="",DAY(EOMONTH(BU$9,0))=0),0,IF((BU$41-((SUMIFS(условия!$194:$194,условия!$8:$8,"&lt;="&amp;BU$9,условия!$9:$9,"&gt;="&amp;BU$9)/DAY(EOMONTH(BU$9,0)))*2*BU$41-BT145))&lt;0,BT145+BU$41,IF((SUMIFS(условия!$194:$194,условия!$8:$8,"&lt;="&amp;BU$9,условия!$9:$9,"&gt;="&amp;BU$9)/DAY(EOMONTH(BU$9,0)))*2*BU$41-BT145&lt;0,0,(SUMIFS(условия!$194:$194,условия!$8:$8,"&lt;="&amp;BU$9,условия!$9:$9,"&gt;="&amp;BU$9)/DAY(EOMONTH(BU$9,0)))*2*BU$41-BT145))))</f>
        <v>52770.043281411701</v>
      </c>
      <c r="BV145" s="33">
        <f>IF(BV$9="",0,IF(OR(BV$9="",DAY(EOMONTH(BV$9,0))=0),0,IF((BV$41-((SUMIFS(условия!$194:$194,условия!$8:$8,"&lt;="&amp;BV$9,условия!$9:$9,"&gt;="&amp;BV$9)/DAY(EOMONTH(BV$9,0)))*2*BV$41-BU145))&lt;0,BU145+BV$41,IF((SUMIFS(условия!$194:$194,условия!$8:$8,"&lt;="&amp;BV$9,условия!$9:$9,"&gt;="&amp;BV$9)/DAY(EOMONTH(BV$9,0)))*2*BV$41-BU145&lt;0,0,(SUMIFS(условия!$194:$194,условия!$8:$8,"&lt;="&amp;BV$9,условия!$9:$9,"&gt;="&amp;BV$9)/DAY(EOMONTH(BV$9,0)))*2*BV$41-BU145))))</f>
        <v>0</v>
      </c>
      <c r="BW145" s="33">
        <f>IF(BW$9="",0,IF(OR(BW$9="",DAY(EOMONTH(BW$9,0))=0),0,IF((BW$41-((SUMIFS(условия!$194:$194,условия!$8:$8,"&lt;="&amp;BW$9,условия!$9:$9,"&gt;="&amp;BW$9)/DAY(EOMONTH(BW$9,0)))*2*BW$41-BV145))&lt;0,BV145+BW$41,IF((SUMIFS(условия!$194:$194,условия!$8:$8,"&lt;="&amp;BW$9,условия!$9:$9,"&gt;="&amp;BW$9)/DAY(EOMONTH(BW$9,0)))*2*BW$41-BV145&lt;0,0,(SUMIFS(условия!$194:$194,условия!$8:$8,"&lt;="&amp;BW$9,условия!$9:$9,"&gt;="&amp;BW$9)/DAY(EOMONTH(BW$9,0)))*2*BW$41-BV145))))</f>
        <v>142087.90067766779</v>
      </c>
      <c r="BX145" s="33">
        <f>IF(BX$9="",0,IF(OR(BX$9="",DAY(EOMONTH(BX$9,0))=0),0,IF((BX$41-((SUMIFS(условия!$194:$194,условия!$8:$8,"&lt;="&amp;BX$9,условия!$9:$9,"&gt;="&amp;BX$9)/DAY(EOMONTH(BX$9,0)))*2*BX$41-BW145))&lt;0,BW145+BX$41,IF((SUMIFS(условия!$194:$194,условия!$8:$8,"&lt;="&amp;BX$9,условия!$9:$9,"&gt;="&amp;BX$9)/DAY(EOMONTH(BX$9,0)))*2*BX$41-BW145&lt;0,0,(SUMIFS(условия!$194:$194,условия!$8:$8,"&lt;="&amp;BX$9,условия!$9:$9,"&gt;="&amp;BX$9)/DAY(EOMONTH(BX$9,0)))*2*BX$41-BW145))))</f>
        <v>0</v>
      </c>
      <c r="BY145" s="33">
        <f>IF(BY$9="",0,IF(OR(BY$9="",DAY(EOMONTH(BY$9,0))=0),0,IF((BY$41-((SUMIFS(условия!$194:$194,условия!$8:$8,"&lt;="&amp;BY$9,условия!$9:$9,"&gt;="&amp;BY$9)/DAY(EOMONTH(BY$9,0)))*2*BY$41-BX145))&lt;0,BX145+BY$41,IF((SUMIFS(условия!$194:$194,условия!$8:$8,"&lt;="&amp;BY$9,условия!$9:$9,"&gt;="&amp;BY$9)/DAY(EOMONTH(BY$9,0)))*2*BY$41-BX145&lt;0,0,(SUMIFS(условия!$194:$194,условия!$8:$8,"&lt;="&amp;BY$9,условия!$9:$9,"&gt;="&amp;BY$9)/DAY(EOMONTH(BY$9,0)))*2*BY$41-BX145))))</f>
        <v>260734.91381917387</v>
      </c>
      <c r="BZ145" s="33">
        <f>IF(BZ$9="",0,IF(OR(BZ$9="",DAY(EOMONTH(BZ$9,0))=0),0,IF((BZ$41-((SUMIFS(условия!$194:$194,условия!$8:$8,"&lt;="&amp;BZ$9,условия!$9:$9,"&gt;="&amp;BZ$9)/DAY(EOMONTH(BZ$9,0)))*2*BZ$41-BY145))&lt;0,BY145+BZ$41,IF((SUMIFS(условия!$194:$194,условия!$8:$8,"&lt;="&amp;BZ$9,условия!$9:$9,"&gt;="&amp;BZ$9)/DAY(EOMONTH(BZ$9,0)))*2*BZ$41-BY145&lt;0,0,(SUMIFS(условия!$194:$194,условия!$8:$8,"&lt;="&amp;BZ$9,условия!$9:$9,"&gt;="&amp;BZ$9)/DAY(EOMONTH(BZ$9,0)))*2*BZ$41-BY145))))</f>
        <v>0</v>
      </c>
      <c r="CA145" s="33">
        <f>IF(CA$9="",0,IF(OR(CA$9="",DAY(EOMONTH(CA$9,0))=0),0,IF((CA$41-((SUMIFS(условия!$194:$194,условия!$8:$8,"&lt;="&amp;CA$9,условия!$9:$9,"&gt;="&amp;CA$9)/DAY(EOMONTH(CA$9,0)))*2*CA$41-BZ145))&lt;0,BZ145+CA$41,IF((SUMIFS(условия!$194:$194,условия!$8:$8,"&lt;="&amp;CA$9,условия!$9:$9,"&gt;="&amp;CA$9)/DAY(EOMONTH(CA$9,0)))*2*CA$41-BZ145&lt;0,0,(SUMIFS(условия!$194:$194,условия!$8:$8,"&lt;="&amp;CA$9,условия!$9:$9,"&gt;="&amp;CA$9)/DAY(EOMONTH(CA$9,0)))*2*CA$41-BZ145))))</f>
        <v>0</v>
      </c>
      <c r="CB145" s="33">
        <f>IF(CB$9="",0,IF(OR(CB$9="",DAY(EOMONTH(CB$9,0))=0),0,IF((CB$41-((SUMIFS(условия!$194:$194,условия!$8:$8,"&lt;="&amp;CB$9,условия!$9:$9,"&gt;="&amp;CB$9)/DAY(EOMONTH(CB$9,0)))*2*CB$41-CA145))&lt;0,CA145+CB$41,IF((SUMIFS(условия!$194:$194,условия!$8:$8,"&lt;="&amp;CB$9,условия!$9:$9,"&gt;="&amp;CB$9)/DAY(EOMONTH(CB$9,0)))*2*CB$41-CA145&lt;0,0,(SUMIFS(условия!$194:$194,условия!$8:$8,"&lt;="&amp;CB$9,условия!$9:$9,"&gt;="&amp;CB$9)/DAY(EOMONTH(CB$9,0)))*2*CB$41-CA145))))</f>
        <v>0</v>
      </c>
      <c r="CC145" s="33">
        <f>IF(CC$9="",0,IF(OR(CC$9="",DAY(EOMONTH(CC$9,0))=0),0,IF((CC$41-((SUMIFS(условия!$194:$194,условия!$8:$8,"&lt;="&amp;CC$9,условия!$9:$9,"&gt;="&amp;CC$9)/DAY(EOMONTH(CC$9,0)))*2*CC$41-CB145))&lt;0,CB145+CC$41,IF((SUMIFS(условия!$194:$194,условия!$8:$8,"&lt;="&amp;CC$9,условия!$9:$9,"&gt;="&amp;CC$9)/DAY(EOMONTH(CC$9,0)))*2*CC$41-CB145&lt;0,0,(SUMIFS(условия!$194:$194,условия!$8:$8,"&lt;="&amp;CC$9,условия!$9:$9,"&gt;="&amp;CC$9)/DAY(EOMONTH(CC$9,0)))*2*CC$41-CB145))))</f>
        <v>397592.83182301593</v>
      </c>
      <c r="CD145" s="33">
        <f>IF(CD$9="",0,IF(OR(CD$9="",DAY(EOMONTH(CD$9,0))=0),0,IF((CD$41-((SUMIFS(условия!$194:$194,условия!$8:$8,"&lt;="&amp;CD$9,условия!$9:$9,"&gt;="&amp;CD$9)/DAY(EOMONTH(CD$9,0)))*2*CD$41-CC145))&lt;0,CC145+CD$41,IF((SUMIFS(условия!$194:$194,условия!$8:$8,"&lt;="&amp;CD$9,условия!$9:$9,"&gt;="&amp;CD$9)/DAY(EOMONTH(CD$9,0)))*2*CD$41-CC145&lt;0,0,(SUMIFS(условия!$194:$194,условия!$8:$8,"&lt;="&amp;CD$9,условия!$9:$9,"&gt;="&amp;CD$9)/DAY(EOMONTH(CD$9,0)))*2*CD$41-CC145))))</f>
        <v>0</v>
      </c>
      <c r="CE145" s="33">
        <f>IF(CE$9="",0,IF(OR(CE$9="",DAY(EOMONTH(CE$9,0))=0),0,IF((CE$41-((SUMIFS(условия!$194:$194,условия!$8:$8,"&lt;="&amp;CE$9,условия!$9:$9,"&gt;="&amp;CE$9)/DAY(EOMONTH(CE$9,0)))*2*CE$41-CD145))&lt;0,CD145+CE$41,IF((SUMIFS(условия!$194:$194,условия!$8:$8,"&lt;="&amp;CE$9,условия!$9:$9,"&gt;="&amp;CE$9)/DAY(EOMONTH(CE$9,0)))*2*CE$41-CD145&lt;0,0,(SUMIFS(условия!$194:$194,условия!$8:$8,"&lt;="&amp;CE$9,условия!$9:$9,"&gt;="&amp;CE$9)/DAY(EOMONTH(CE$9,0)))*2*CE$41-CD145))))</f>
        <v>0</v>
      </c>
      <c r="CF145" s="33">
        <f>IF(CF$9="",0,IF(OR(CF$9="",DAY(EOMONTH(CF$9,0))=0),0,IF((CF$41-((SUMIFS(условия!$194:$194,условия!$8:$8,"&lt;="&amp;CF$9,условия!$9:$9,"&gt;="&amp;CF$9)/DAY(EOMONTH(CF$9,0)))*2*CF$41-CE145))&lt;0,CE145+CF$41,IF((SUMIFS(условия!$194:$194,условия!$8:$8,"&lt;="&amp;CF$9,условия!$9:$9,"&gt;="&amp;CF$9)/DAY(EOMONTH(CF$9,0)))*2*CF$41-CE145&lt;0,0,(SUMIFS(условия!$194:$194,условия!$8:$8,"&lt;="&amp;CF$9,условия!$9:$9,"&gt;="&amp;CF$9)/DAY(EOMONTH(CF$9,0)))*2*CF$41-CE145))))</f>
        <v>0</v>
      </c>
      <c r="CG145" s="33">
        <f>IF(CG$9="",0,IF(OR(CG$9="",DAY(EOMONTH(CG$9,0))=0),0,IF((CG$41-((SUMIFS(условия!$194:$194,условия!$8:$8,"&lt;="&amp;CG$9,условия!$9:$9,"&gt;="&amp;CG$9)/DAY(EOMONTH(CG$9,0)))*2*CG$41-CF145))&lt;0,CF145+CG$41,IF((SUMIFS(условия!$194:$194,условия!$8:$8,"&lt;="&amp;CG$9,условия!$9:$9,"&gt;="&amp;CG$9)/DAY(EOMONTH(CG$9,0)))*2*CG$41-CF145&lt;0,0,(SUMIFS(условия!$194:$194,условия!$8:$8,"&lt;="&amp;CG$9,условия!$9:$9,"&gt;="&amp;CG$9)/DAY(EOMONTH(CG$9,0)))*2*CG$41-CF145))))</f>
        <v>0</v>
      </c>
      <c r="CH145" s="33">
        <f>IF(CH$9="",0,IF(OR(CH$9="",DAY(EOMONTH(CH$9,0))=0),0,IF((CH$41-((SUMIFS(условия!$194:$194,условия!$8:$8,"&lt;="&amp;CH$9,условия!$9:$9,"&gt;="&amp;CH$9)/DAY(EOMONTH(CH$9,0)))*2*CH$41-CG145))&lt;0,CG145+CH$41,IF((SUMIFS(условия!$194:$194,условия!$8:$8,"&lt;="&amp;CH$9,условия!$9:$9,"&gt;="&amp;CH$9)/DAY(EOMONTH(CH$9,0)))*2*CH$41-CG145&lt;0,0,(SUMIFS(условия!$194:$194,условия!$8:$8,"&lt;="&amp;CH$9,условия!$9:$9,"&gt;="&amp;CH$9)/DAY(EOMONTH(CH$9,0)))*2*CH$41-CG145))))</f>
        <v>0</v>
      </c>
      <c r="CI145" s="33">
        <f>IF(CI$9="",0,IF(OR(CI$9="",DAY(EOMONTH(CI$9,0))=0),0,IF((CI$41-((SUMIFS(условия!$194:$194,условия!$8:$8,"&lt;="&amp;CI$9,условия!$9:$9,"&gt;="&amp;CI$9)/DAY(EOMONTH(CI$9,0)))*2*CI$41-CH145))&lt;0,CH145+CI$41,IF((SUMIFS(условия!$194:$194,условия!$8:$8,"&lt;="&amp;CI$9,условия!$9:$9,"&gt;="&amp;CI$9)/DAY(EOMONTH(CI$9,0)))*2*CI$41-CH145&lt;0,0,(SUMIFS(условия!$194:$194,условия!$8:$8,"&lt;="&amp;CI$9,условия!$9:$9,"&gt;="&amp;CI$9)/DAY(EOMONTH(CI$9,0)))*2*CI$41-CH145))))</f>
        <v>158767.27128191356</v>
      </c>
      <c r="CJ145" s="33">
        <f>IF(CJ$9="",0,IF(OR(CJ$9="",DAY(EOMONTH(CJ$9,0))=0),0,IF((CJ$41-((SUMIFS(условия!$194:$194,условия!$8:$8,"&lt;="&amp;CJ$9,условия!$9:$9,"&gt;="&amp;CJ$9)/DAY(EOMONTH(CJ$9,0)))*2*CJ$41-CI145))&lt;0,CI145+CJ$41,IF((SUMIFS(условия!$194:$194,условия!$8:$8,"&lt;="&amp;CJ$9,условия!$9:$9,"&gt;="&amp;CJ$9)/DAY(EOMONTH(CJ$9,0)))*2*CJ$41-CI145&lt;0,0,(SUMIFS(условия!$194:$194,условия!$8:$8,"&lt;="&amp;CJ$9,условия!$9:$9,"&gt;="&amp;CJ$9)/DAY(EOMONTH(CJ$9,0)))*2*CJ$41-CI145))))</f>
        <v>0</v>
      </c>
      <c r="CK145" s="33">
        <f>IF(CK$9="",0,IF(OR(CK$9="",DAY(EOMONTH(CK$9,0))=0),0,IF((CK$41-((SUMIFS(условия!$194:$194,условия!$8:$8,"&lt;="&amp;CK$9,условия!$9:$9,"&gt;="&amp;CK$9)/DAY(EOMONTH(CK$9,0)))*2*CK$41-CJ145))&lt;0,CJ145+CK$41,IF((SUMIFS(условия!$194:$194,условия!$8:$8,"&lt;="&amp;CK$9,условия!$9:$9,"&gt;="&amp;CK$9)/DAY(EOMONTH(CK$9,0)))*2*CK$41-CJ145&lt;0,0,(SUMIFS(условия!$194:$194,условия!$8:$8,"&lt;="&amp;CK$9,условия!$9:$9,"&gt;="&amp;CK$9)/DAY(EOMONTH(CK$9,0)))*2*CK$41-CJ145))))</f>
        <v>181969.73994427701</v>
      </c>
      <c r="CL145" s="33">
        <f>IF(CL$9="",0,IF(OR(CL$9="",DAY(EOMONTH(CL$9,0))=0),0,IF((CL$41-((SUMIFS(условия!$194:$194,условия!$8:$8,"&lt;="&amp;CL$9,условия!$9:$9,"&gt;="&amp;CL$9)/DAY(EOMONTH(CL$9,0)))*2*CL$41-CK145))&lt;0,CK145+CL$41,IF((SUMIFS(условия!$194:$194,условия!$8:$8,"&lt;="&amp;CL$9,условия!$9:$9,"&gt;="&amp;CL$9)/DAY(EOMONTH(CL$9,0)))*2*CL$41-CK145&lt;0,0,(SUMIFS(условия!$194:$194,условия!$8:$8,"&lt;="&amp;CL$9,условия!$9:$9,"&gt;="&amp;CL$9)/DAY(EOMONTH(CL$9,0)))*2*CL$41-CK145))))</f>
        <v>185212.83802474392</v>
      </c>
      <c r="CM145" s="33">
        <f>IF(CM$9="",0,IF(OR(CM$9="",DAY(EOMONTH(CM$9,0))=0),0,IF((CM$41-((SUMIFS(условия!$194:$194,условия!$8:$8,"&lt;="&amp;CM$9,условия!$9:$9,"&gt;="&amp;CM$9)/DAY(EOMONTH(CM$9,0)))*2*CM$41-CL145))&lt;0,CL145+CM$41,IF((SUMIFS(условия!$194:$194,условия!$8:$8,"&lt;="&amp;CM$9,условия!$9:$9,"&gt;="&amp;CM$9)/DAY(EOMONTH(CM$9,0)))*2*CM$41-CL145&lt;0,0,(SUMIFS(условия!$194:$194,условия!$8:$8,"&lt;="&amp;CM$9,условия!$9:$9,"&gt;="&amp;CM$9)/DAY(EOMONTH(CM$9,0)))*2*CM$41-CL145))))</f>
        <v>0</v>
      </c>
      <c r="CN145" s="33">
        <f>IF(CN$9="",0,IF(OR(CN$9="",DAY(EOMONTH(CN$9,0))=0),0,IF((CN$41-((SUMIFS(условия!$194:$194,условия!$8:$8,"&lt;="&amp;CN$9,условия!$9:$9,"&gt;="&amp;CN$9)/DAY(EOMONTH(CN$9,0)))*2*CN$41-CM145))&lt;0,CM145+CN$41,IF((SUMIFS(условия!$194:$194,условия!$8:$8,"&lt;="&amp;CN$9,условия!$9:$9,"&gt;="&amp;CN$9)/DAY(EOMONTH(CN$9,0)))*2*CN$41-CM145&lt;0,0,(SUMIFS(условия!$194:$194,условия!$8:$8,"&lt;="&amp;CN$9,условия!$9:$9,"&gt;="&amp;CN$9)/DAY(EOMONTH(CN$9,0)))*2*CN$41-CM145))))</f>
        <v>0</v>
      </c>
      <c r="CO145" s="33">
        <f>IF(CO$9="",0,IF(OR(CO$9="",DAY(EOMONTH(CO$9,0))=0),0,IF((CO$41-((SUMIFS(условия!$194:$194,условия!$8:$8,"&lt;="&amp;CO$9,условия!$9:$9,"&gt;="&amp;CO$9)/DAY(EOMONTH(CO$9,0)))*2*CO$41-CN145))&lt;0,CN145+CO$41,IF((SUMIFS(условия!$194:$194,условия!$8:$8,"&lt;="&amp;CO$9,условия!$9:$9,"&gt;="&amp;CO$9)/DAY(EOMONTH(CO$9,0)))*2*CO$41-CN145&lt;0,0,(SUMIFS(условия!$194:$194,условия!$8:$8,"&lt;="&amp;CO$9,условия!$9:$9,"&gt;="&amp;CO$9)/DAY(EOMONTH(CO$9,0)))*2*CO$41-CN145))))</f>
        <v>146361.19375406485</v>
      </c>
      <c r="CP145" s="33">
        <f>IF(CP$9="",0,IF(OR(CP$9="",DAY(EOMONTH(CP$9,0))=0),0,IF((CP$41-((SUMIFS(условия!$194:$194,условия!$8:$8,"&lt;="&amp;CP$9,условия!$9:$9,"&gt;="&amp;CP$9)/DAY(EOMONTH(CP$9,0)))*2*CP$41-CO145))&lt;0,CO145+CP$41,IF((SUMIFS(условия!$194:$194,условия!$8:$8,"&lt;="&amp;CP$9,условия!$9:$9,"&gt;="&amp;CP$9)/DAY(EOMONTH(CP$9,0)))*2*CP$41-CO145&lt;0,0,(SUMIFS(условия!$194:$194,условия!$8:$8,"&lt;="&amp;CP$9,условия!$9:$9,"&gt;="&amp;CP$9)/DAY(EOMONTH(CP$9,0)))*2*CP$41-CO145))))</f>
        <v>0</v>
      </c>
      <c r="CQ145" s="33">
        <f>IF(CQ$9="",0,IF(OR(CQ$9="",DAY(EOMONTH(CQ$9,0))=0),0,IF((CQ$41-((SUMIFS(условия!$194:$194,условия!$8:$8,"&lt;="&amp;CQ$9,условия!$9:$9,"&gt;="&amp;CQ$9)/DAY(EOMONTH(CQ$9,0)))*2*CQ$41-CP145))&lt;0,CP145+CQ$41,IF((SUMIFS(условия!$194:$194,условия!$8:$8,"&lt;="&amp;CQ$9,условия!$9:$9,"&gt;="&amp;CQ$9)/DAY(EOMONTH(CQ$9,0)))*2*CQ$41-CP145&lt;0,0,(SUMIFS(условия!$194:$194,условия!$8:$8,"&lt;="&amp;CQ$9,условия!$9:$9,"&gt;="&amp;CQ$9)/DAY(EOMONTH(CQ$9,0)))*2*CQ$41-CP145))))</f>
        <v>258055.06131047691</v>
      </c>
      <c r="CR145" s="33">
        <f>IF(CR$9="",0,IF(OR(CR$9="",DAY(EOMONTH(CR$9,0))=0),0,IF((CR$41-((SUMIFS(условия!$194:$194,условия!$8:$8,"&lt;="&amp;CR$9,условия!$9:$9,"&gt;="&amp;CR$9)/DAY(EOMONTH(CR$9,0)))*2*CR$41-CQ145))&lt;0,CQ145+CR$41,IF((SUMIFS(условия!$194:$194,условия!$8:$8,"&lt;="&amp;CR$9,условия!$9:$9,"&gt;="&amp;CR$9)/DAY(EOMONTH(CR$9,0)))*2*CR$41-CQ145&lt;0,0,(SUMIFS(условия!$194:$194,условия!$8:$8,"&lt;="&amp;CR$9,условия!$9:$9,"&gt;="&amp;CR$9)/DAY(EOMONTH(CR$9,0)))*2*CR$41-CQ145))))</f>
        <v>0</v>
      </c>
      <c r="CS145" s="33">
        <f>IF(CS$9="",0,IF(OR(CS$9="",DAY(EOMONTH(CS$9,0))=0),0,IF((CS$41-((SUMIFS(условия!$194:$194,условия!$8:$8,"&lt;="&amp;CS$9,условия!$9:$9,"&gt;="&amp;CS$9)/DAY(EOMONTH(CS$9,0)))*2*CS$41-CR145))&lt;0,CR145+CS$41,IF((SUMIFS(условия!$194:$194,условия!$8:$8,"&lt;="&amp;CS$9,условия!$9:$9,"&gt;="&amp;CS$9)/DAY(EOMONTH(CS$9,0)))*2*CS$41-CR145&lt;0,0,(SUMIFS(условия!$194:$194,условия!$8:$8,"&lt;="&amp;CS$9,условия!$9:$9,"&gt;="&amp;CS$9)/DAY(EOMONTH(CS$9,0)))*2*CS$41-CR145))))</f>
        <v>0</v>
      </c>
      <c r="CT145" s="33">
        <f>IF(CT$9="",0,IF(OR(CT$9="",DAY(EOMONTH(CT$9,0))=0),0,IF((CT$41-((SUMIFS(условия!$194:$194,условия!$8:$8,"&lt;="&amp;CT$9,условия!$9:$9,"&gt;="&amp;CT$9)/DAY(EOMONTH(CT$9,0)))*2*CT$41-CS145))&lt;0,CS145+CT$41,IF((SUMIFS(условия!$194:$194,условия!$8:$8,"&lt;="&amp;CT$9,условия!$9:$9,"&gt;="&amp;CT$9)/DAY(EOMONTH(CT$9,0)))*2*CT$41-CS145&lt;0,0,(SUMIFS(условия!$194:$194,условия!$8:$8,"&lt;="&amp;CT$9,условия!$9:$9,"&gt;="&amp;CT$9)/DAY(EOMONTH(CT$9,0)))*2*CT$41-CS145))))</f>
        <v>0</v>
      </c>
      <c r="CU145" s="33">
        <f>IF(CU$9="",0,IF(OR(CU$9="",DAY(EOMONTH(CU$9,0))=0),0,IF((CU$41-((SUMIFS(условия!$194:$194,условия!$8:$8,"&lt;="&amp;CU$9,условия!$9:$9,"&gt;="&amp;CU$9)/DAY(EOMONTH(CU$9,0)))*2*CU$41-CT145))&lt;0,CT145+CU$41,IF((SUMIFS(условия!$194:$194,условия!$8:$8,"&lt;="&amp;CU$9,условия!$9:$9,"&gt;="&amp;CU$9)/DAY(EOMONTH(CU$9,0)))*2*CU$41-CT145&lt;0,0,(SUMIFS(условия!$194:$194,условия!$8:$8,"&lt;="&amp;CU$9,условия!$9:$9,"&gt;="&amp;CU$9)/DAY(EOMONTH(CU$9,0)))*2*CU$41-CT145))))</f>
        <v>234808.48763364053</v>
      </c>
      <c r="CV145" s="33">
        <f>IF(CV$9="",0,IF(OR(CV$9="",DAY(EOMONTH(CV$9,0))=0),0,IF((CV$41-((SUMIFS(условия!$194:$194,условия!$8:$8,"&lt;="&amp;CV$9,условия!$9:$9,"&gt;="&amp;CV$9)/DAY(EOMONTH(CV$9,0)))*2*CV$41-CU145))&lt;0,CU145+CV$41,IF((SUMIFS(условия!$194:$194,условия!$8:$8,"&lt;="&amp;CV$9,условия!$9:$9,"&gt;="&amp;CV$9)/DAY(EOMONTH(CV$9,0)))*2*CV$41-CU145&lt;0,0,(SUMIFS(условия!$194:$194,условия!$8:$8,"&lt;="&amp;CV$9,условия!$9:$9,"&gt;="&amp;CV$9)/DAY(EOMONTH(CV$9,0)))*2*CV$41-CU145))))</f>
        <v>0</v>
      </c>
      <c r="CW145" s="33">
        <f>IF(CW$9="",0,IF(OR(CW$9="",DAY(EOMONTH(CW$9,0))=0),0,IF((CW$41-((SUMIFS(условия!$194:$194,условия!$8:$8,"&lt;="&amp;CW$9,условия!$9:$9,"&gt;="&amp;CW$9)/DAY(EOMONTH(CW$9,0)))*2*CW$41-CV145))&lt;0,CV145+CW$41,IF((SUMIFS(условия!$194:$194,условия!$8:$8,"&lt;="&amp;CW$9,условия!$9:$9,"&gt;="&amp;CW$9)/DAY(EOMONTH(CW$9,0)))*2*CW$41-CV145&lt;0,0,(SUMIFS(условия!$194:$194,условия!$8:$8,"&lt;="&amp;CW$9,условия!$9:$9,"&gt;="&amp;CW$9)/DAY(EOMONTH(CW$9,0)))*2*CW$41-CV145))))</f>
        <v>509312.27071612125</v>
      </c>
      <c r="CX145" s="33">
        <f>IF(CX$9="",0,IF(OR(CX$9="",DAY(EOMONTH(CX$9,0))=0),0,IF((CX$41-((SUMIFS(условия!$194:$194,условия!$8:$8,"&lt;="&amp;CX$9,условия!$9:$9,"&gt;="&amp;CX$9)/DAY(EOMONTH(CX$9,0)))*2*CX$41-CW145))&lt;0,CW145+CX$41,IF((SUMIFS(условия!$194:$194,условия!$8:$8,"&lt;="&amp;CX$9,условия!$9:$9,"&gt;="&amp;CX$9)/DAY(EOMONTH(CX$9,0)))*2*CX$41-CW145&lt;0,0,(SUMIFS(условия!$194:$194,условия!$8:$8,"&lt;="&amp;CX$9,условия!$9:$9,"&gt;="&amp;CX$9)/DAY(EOMONTH(CX$9,0)))*2*CX$41-CW145))))</f>
        <v>0</v>
      </c>
      <c r="CY145" s="33">
        <f>IF(CY$9="",0,IF(OR(CY$9="",DAY(EOMONTH(CY$9,0))=0),0,IF((CY$41-((SUMIFS(условия!$194:$194,условия!$8:$8,"&lt;="&amp;CY$9,условия!$9:$9,"&gt;="&amp;CY$9)/DAY(EOMONTH(CY$9,0)))*2*CY$41-CX145))&lt;0,CX145+CY$41,IF((SUMIFS(условия!$194:$194,условия!$8:$8,"&lt;="&amp;CY$9,условия!$9:$9,"&gt;="&amp;CY$9)/DAY(EOMONTH(CY$9,0)))*2*CY$41-CX145&lt;0,0,(SUMIFS(условия!$194:$194,условия!$8:$8,"&lt;="&amp;CY$9,условия!$9:$9,"&gt;="&amp;CY$9)/DAY(EOMONTH(CY$9,0)))*2*CY$41-CX145))))</f>
        <v>0</v>
      </c>
      <c r="CZ145" s="33">
        <f>IF(CZ$9="",0,IF(OR(CZ$9="",DAY(EOMONTH(CZ$9,0))=0),0,IF((CZ$41-((SUMIFS(условия!$194:$194,условия!$8:$8,"&lt;="&amp;CZ$9,условия!$9:$9,"&gt;="&amp;CZ$9)/DAY(EOMONTH(CZ$9,0)))*2*CZ$41-CY145))&lt;0,CY145+CZ$41,IF((SUMIFS(условия!$194:$194,условия!$8:$8,"&lt;="&amp;CZ$9,условия!$9:$9,"&gt;="&amp;CZ$9)/DAY(EOMONTH(CZ$9,0)))*2*CZ$41-CY145&lt;0,0,(SUMIFS(условия!$194:$194,условия!$8:$8,"&lt;="&amp;CZ$9,условия!$9:$9,"&gt;="&amp;CZ$9)/DAY(EOMONTH(CZ$9,0)))*2*CZ$41-CY145))))</f>
        <v>0</v>
      </c>
      <c r="DA145" s="33">
        <f>IF(DA$9="",0,IF(OR(DA$9="",DAY(EOMONTH(DA$9,0))=0),0,IF((DA$41-((SUMIFS(условия!$194:$194,условия!$8:$8,"&lt;="&amp;DA$9,условия!$9:$9,"&gt;="&amp;DA$9)/DAY(EOMONTH(DA$9,0)))*2*DA$41-CZ145))&lt;0,CZ145+DA$41,IF((SUMIFS(условия!$194:$194,условия!$8:$8,"&lt;="&amp;DA$9,условия!$9:$9,"&gt;="&amp;DA$9)/DAY(EOMONTH(DA$9,0)))*2*DA$41-CZ145&lt;0,0,(SUMIFS(условия!$194:$194,условия!$8:$8,"&lt;="&amp;DA$9,условия!$9:$9,"&gt;="&amp;DA$9)/DAY(EOMONTH(DA$9,0)))*2*DA$41-CZ145))))</f>
        <v>436473.31206705567</v>
      </c>
      <c r="DB145" s="33">
        <f>IF(DB$9="",0,IF(OR(DB$9="",DAY(EOMONTH(DB$9,0))=0),0,IF((DB$41-((SUMIFS(условия!$194:$194,условия!$8:$8,"&lt;="&amp;DB$9,условия!$9:$9,"&gt;="&amp;DB$9)/DAY(EOMONTH(DB$9,0)))*2*DB$41-DA145))&lt;0,DA145+DB$41,IF((SUMIFS(условия!$194:$194,условия!$8:$8,"&lt;="&amp;DB$9,условия!$9:$9,"&gt;="&amp;DB$9)/DAY(EOMONTH(DB$9,0)))*2*DB$41-DA145&lt;0,0,(SUMIFS(условия!$194:$194,условия!$8:$8,"&lt;="&amp;DB$9,условия!$9:$9,"&gt;="&amp;DB$9)/DAY(EOMONTH(DB$9,0)))*2*DB$41-DA145))))</f>
        <v>0</v>
      </c>
      <c r="DC145" s="33">
        <f>IF(DC$9="",0,IF(OR(DC$9="",DAY(EOMONTH(DC$9,0))=0),0,IF((DC$41-((SUMIFS(условия!$194:$194,условия!$8:$8,"&lt;="&amp;DC$9,условия!$9:$9,"&gt;="&amp;DC$9)/DAY(EOMONTH(DC$9,0)))*2*DC$41-DB145))&lt;0,DB145+DC$41,IF((SUMIFS(условия!$194:$194,условия!$8:$8,"&lt;="&amp;DC$9,условия!$9:$9,"&gt;="&amp;DC$9)/DAY(EOMONTH(DC$9,0)))*2*DC$41-DB145&lt;0,0,(SUMIFS(условия!$194:$194,условия!$8:$8,"&lt;="&amp;DC$9,условия!$9:$9,"&gt;="&amp;DC$9)/DAY(EOMONTH(DC$9,0)))*2*DC$41-DB145))))</f>
        <v>38990.297778511427</v>
      </c>
      <c r="DD145" s="33">
        <f>IF(DD$9="",0,IF(OR(DD$9="",DAY(EOMONTH(DD$9,0))=0),0,IF((DD$41-((SUMIFS(условия!$194:$194,условия!$8:$8,"&lt;="&amp;DD$9,условия!$9:$9,"&gt;="&amp;DD$9)/DAY(EOMONTH(DD$9,0)))*2*DD$41-DC145))&lt;0,DC145+DD$41,IF((SUMIFS(условия!$194:$194,условия!$8:$8,"&lt;="&amp;DD$9,условия!$9:$9,"&gt;="&amp;DD$9)/DAY(EOMONTH(DD$9,0)))*2*DD$41-DC145&lt;0,0,(SUMIFS(условия!$194:$194,условия!$8:$8,"&lt;="&amp;DD$9,условия!$9:$9,"&gt;="&amp;DD$9)/DAY(EOMONTH(DD$9,0)))*2*DD$41-DC145))))</f>
        <v>0</v>
      </c>
      <c r="DE145" s="33">
        <f>IF(DE$9="",0,IF(OR(DE$9="",DAY(EOMONTH(DE$9,0))=0),0,IF((DE$41-((SUMIFS(условия!$194:$194,условия!$8:$8,"&lt;="&amp;DE$9,условия!$9:$9,"&gt;="&amp;DE$9)/DAY(EOMONTH(DE$9,0)))*2*DE$41-DD145))&lt;0,DD145+DE$41,IF((SUMIFS(условия!$194:$194,условия!$8:$8,"&lt;="&amp;DE$9,условия!$9:$9,"&gt;="&amp;DE$9)/DAY(EOMONTH(DE$9,0)))*2*DE$41-DD145&lt;0,0,(SUMIFS(условия!$194:$194,условия!$8:$8,"&lt;="&amp;DE$9,условия!$9:$9,"&gt;="&amp;DE$9)/DAY(EOMONTH(DE$9,0)))*2*DE$41-DD145))))</f>
        <v>0</v>
      </c>
      <c r="DF145" s="33">
        <f>IF(DF$9="",0,IF(OR(DF$9="",DAY(EOMONTH(DF$9,0))=0),0,IF((DF$41-((SUMIFS(условия!$194:$194,условия!$8:$8,"&lt;="&amp;DF$9,условия!$9:$9,"&gt;="&amp;DF$9)/DAY(EOMONTH(DF$9,0)))*2*DF$41-DE145))&lt;0,DE145+DF$41,IF((SUMIFS(условия!$194:$194,условия!$8:$8,"&lt;="&amp;DF$9,условия!$9:$9,"&gt;="&amp;DF$9)/DAY(EOMONTH(DF$9,0)))*2*DF$41-DE145&lt;0,0,(SUMIFS(условия!$194:$194,условия!$8:$8,"&lt;="&amp;DF$9,условия!$9:$9,"&gt;="&amp;DF$9)/DAY(EOMONTH(DF$9,0)))*2*DF$41-DE145))))</f>
        <v>80210.943544021735</v>
      </c>
      <c r="DG145" s="33">
        <f>IF(DG$9="",0,IF(OR(DG$9="",DAY(EOMONTH(DG$9,0))=0),0,IF((DG$41-((SUMIFS(условия!$194:$194,условия!$8:$8,"&lt;="&amp;DG$9,условия!$9:$9,"&gt;="&amp;DG$9)/DAY(EOMONTH(DG$9,0)))*2*DG$41-DF145))&lt;0,DF145+DG$41,IF((SUMIFS(условия!$194:$194,условия!$8:$8,"&lt;="&amp;DG$9,условия!$9:$9,"&gt;="&amp;DG$9)/DAY(EOMONTH(DG$9,0)))*2*DG$41-DF145&lt;0,0,(SUMIFS(условия!$194:$194,условия!$8:$8,"&lt;="&amp;DG$9,условия!$9:$9,"&gt;="&amp;DG$9)/DAY(EOMONTH(DG$9,0)))*2*DG$41-DF145))))</f>
        <v>190502.77444152231</v>
      </c>
      <c r="DH145" s="33">
        <f>IF(DH$9="",0,IF(OR(DH$9="",DAY(EOMONTH(DH$9,0))=0),0,IF((DH$41-((SUMIFS(условия!$194:$194,условия!$8:$8,"&lt;="&amp;DH$9,условия!$9:$9,"&gt;="&amp;DH$9)/DAY(EOMONTH(DH$9,0)))*2*DH$41-DG145))&lt;0,DG145+DH$41,IF((SUMIFS(условия!$194:$194,условия!$8:$8,"&lt;="&amp;DH$9,условия!$9:$9,"&gt;="&amp;DH$9)/DAY(EOMONTH(DH$9,0)))*2*DH$41-DG145&lt;0,0,(SUMIFS(условия!$194:$194,условия!$8:$8,"&lt;="&amp;DH$9,условия!$9:$9,"&gt;="&amp;DH$9)/DAY(EOMONTH(DH$9,0)))*2*DH$41-DG145))))</f>
        <v>46350.204719170608</v>
      </c>
      <c r="DI145" s="33">
        <f>IF(DI$9="",0,IF(OR(DI$9="",DAY(EOMONTH(DI$9,0))=0),0,IF((DI$41-((SUMIFS(условия!$194:$194,условия!$8:$8,"&lt;="&amp;DI$9,условия!$9:$9,"&gt;="&amp;DI$9)/DAY(EOMONTH(DI$9,0)))*2*DI$41-DH145))&lt;0,DH145+DI$41,IF((SUMIFS(условия!$194:$194,условия!$8:$8,"&lt;="&amp;DI$9,условия!$9:$9,"&gt;="&amp;DI$9)/DAY(EOMONTH(DI$9,0)))*2*DI$41-DH145&lt;0,0,(SUMIFS(условия!$194:$194,условия!$8:$8,"&lt;="&amp;DI$9,условия!$9:$9,"&gt;="&amp;DI$9)/DAY(EOMONTH(DI$9,0)))*2*DI$41-DH145))))</f>
        <v>283021.27472132095</v>
      </c>
      <c r="DJ145" s="33">
        <f>IF(DJ$9="",0,IF(OR(DJ$9="",DAY(EOMONTH(DJ$9,0))=0),0,IF((DJ$41-((SUMIFS(условия!$194:$194,условия!$8:$8,"&lt;="&amp;DJ$9,условия!$9:$9,"&gt;="&amp;DJ$9)/DAY(EOMONTH(DJ$9,0)))*2*DJ$41-DI145))&lt;0,DI145+DJ$41,IF((SUMIFS(условия!$194:$194,условия!$8:$8,"&lt;="&amp;DJ$9,условия!$9:$9,"&gt;="&amp;DJ$9)/DAY(EOMONTH(DJ$9,0)))*2*DJ$41-DI145&lt;0,0,(SUMIFS(условия!$194:$194,условия!$8:$8,"&lt;="&amp;DJ$9,условия!$9:$9,"&gt;="&amp;DJ$9)/DAY(EOMONTH(DJ$9,0)))*2*DJ$41-DI145))))</f>
        <v>254001.0189547718</v>
      </c>
      <c r="DK145" s="33">
        <f>IF(DK$9="",0,IF(OR(DK$9="",DAY(EOMONTH(DK$9,0))=0),0,IF((DK$41-((SUMIFS(условия!$194:$194,условия!$8:$8,"&lt;="&amp;DK$9,условия!$9:$9,"&gt;="&amp;DK$9)/DAY(EOMONTH(DK$9,0)))*2*DK$41-DJ145))&lt;0,DJ145+DK$41,IF((SUMIFS(условия!$194:$194,условия!$8:$8,"&lt;="&amp;DK$9,условия!$9:$9,"&gt;="&amp;DK$9)/DAY(EOMONTH(DK$9,0)))*2*DK$41-DJ145&lt;0,0,(SUMIFS(условия!$194:$194,условия!$8:$8,"&lt;="&amp;DK$9,условия!$9:$9,"&gt;="&amp;DK$9)/DAY(EOMONTH(DK$9,0)))*2*DK$41-DJ145))))</f>
        <v>0</v>
      </c>
      <c r="DL145" s="33">
        <f>IF(DL$9="",0,IF(OR(DL$9="",DAY(EOMONTH(DL$9,0))=0),0,IF((DL$41-((SUMIFS(условия!$194:$194,условия!$8:$8,"&lt;="&amp;DL$9,условия!$9:$9,"&gt;="&amp;DL$9)/DAY(EOMONTH(DL$9,0)))*2*DL$41-DK145))&lt;0,DK145+DL$41,IF((SUMIFS(условия!$194:$194,условия!$8:$8,"&lt;="&amp;DL$9,условия!$9:$9,"&gt;="&amp;DL$9)/DAY(EOMONTH(DL$9,0)))*2*DL$41-DK145&lt;0,0,(SUMIFS(условия!$194:$194,условия!$8:$8,"&lt;="&amp;DL$9,условия!$9:$9,"&gt;="&amp;DL$9)/DAY(EOMONTH(DL$9,0)))*2*DL$41-DK145))))</f>
        <v>0</v>
      </c>
      <c r="DM145" s="33">
        <f>IF(DM$9="",0,IF(OR(DM$9="",DAY(EOMONTH(DM$9,0))=0),0,IF((DM$41-((SUMIFS(условия!$194:$194,условия!$8:$8,"&lt;="&amp;DM$9,условия!$9:$9,"&gt;="&amp;DM$9)/DAY(EOMONTH(DM$9,0)))*2*DM$41-DL145))&lt;0,DL145+DM$41,IF((SUMIFS(условия!$194:$194,условия!$8:$8,"&lt;="&amp;DM$9,условия!$9:$9,"&gt;="&amp;DM$9)/DAY(EOMONTH(DM$9,0)))*2*DM$41-DL145&lt;0,0,(SUMIFS(условия!$194:$194,условия!$8:$8,"&lt;="&amp;DM$9,условия!$9:$9,"&gt;="&amp;DM$9)/DAY(EOMONTH(DM$9,0)))*2*DM$41-DL145))))</f>
        <v>224006.36515384787</v>
      </c>
      <c r="DN145" s="33">
        <f>IF(DN$9="",0,IF(OR(DN$9="",DAY(EOMONTH(DN$9,0))=0),0,IF((DN$41-((SUMIFS(условия!$194:$194,условия!$8:$8,"&lt;="&amp;DN$9,условия!$9:$9,"&gt;="&amp;DN$9)/DAY(EOMONTH(DN$9,0)))*2*DN$41-DM145))&lt;0,DM145+DN$41,IF((SUMIFS(условия!$194:$194,условия!$8:$8,"&lt;="&amp;DN$9,условия!$9:$9,"&gt;="&amp;DN$9)/DAY(EOMONTH(DN$9,0)))*2*DN$41-DM145&lt;0,0,(SUMIFS(условия!$194:$194,условия!$8:$8,"&lt;="&amp;DN$9,условия!$9:$9,"&gt;="&amp;DN$9)/DAY(EOMONTH(DN$9,0)))*2*DN$41-DM145))))</f>
        <v>0</v>
      </c>
      <c r="DO145" s="33">
        <f>IF(DO$9="",0,IF(OR(DO$9="",DAY(EOMONTH(DO$9,0))=0),0,IF((DO$41-((SUMIFS(условия!$194:$194,условия!$8:$8,"&lt;="&amp;DO$9,условия!$9:$9,"&gt;="&amp;DO$9)/DAY(EOMONTH(DO$9,0)))*2*DO$41-DN145))&lt;0,DN145+DO$41,IF((SUMIFS(условия!$194:$194,условия!$8:$8,"&lt;="&amp;DO$9,условия!$9:$9,"&gt;="&amp;DO$9)/DAY(EOMONTH(DO$9,0)))*2*DO$41-DN145&lt;0,0,(SUMIFS(условия!$194:$194,условия!$8:$8,"&lt;="&amp;DO$9,условия!$9:$9,"&gt;="&amp;DO$9)/DAY(EOMONTH(DO$9,0)))*2*DO$41-DN145))))</f>
        <v>307084.52535476425</v>
      </c>
      <c r="DP145" s="33">
        <f>IF(DP$9="",0,IF(OR(DP$9="",DAY(EOMONTH(DP$9,0))=0),0,IF((DP$41-((SUMIFS(условия!$194:$194,условия!$8:$8,"&lt;="&amp;DP$9,условия!$9:$9,"&gt;="&amp;DP$9)/DAY(EOMONTH(DP$9,0)))*2*DP$41-DO145))&lt;0,DO145+DP$41,IF((SUMIFS(условия!$194:$194,условия!$8:$8,"&lt;="&amp;DP$9,условия!$9:$9,"&gt;="&amp;DP$9)/DAY(EOMONTH(DP$9,0)))*2*DP$41-DO145&lt;0,0,(SUMIFS(условия!$194:$194,условия!$8:$8,"&lt;="&amp;DP$9,условия!$9:$9,"&gt;="&amp;DP$9)/DAY(EOMONTH(DP$9,0)))*2*DP$41-DO145))))</f>
        <v>0</v>
      </c>
      <c r="DQ145" s="33">
        <f>IF(DQ$9="",0,IF(OR(DQ$9="",DAY(EOMONTH(DQ$9,0))=0),0,IF((DQ$41-((SUMIFS(условия!$194:$194,условия!$8:$8,"&lt;="&amp;DQ$9,условия!$9:$9,"&gt;="&amp;DQ$9)/DAY(EOMONTH(DQ$9,0)))*2*DQ$41-DP145))&lt;0,DP145+DQ$41,IF((SUMIFS(условия!$194:$194,условия!$8:$8,"&lt;="&amp;DQ$9,условия!$9:$9,"&gt;="&amp;DQ$9)/DAY(EOMONTH(DQ$9,0)))*2*DQ$41-DP145&lt;0,0,(SUMIFS(условия!$194:$194,условия!$8:$8,"&lt;="&amp;DQ$9,условия!$9:$9,"&gt;="&amp;DQ$9)/DAY(EOMONTH(DQ$9,0)))*2*DQ$41-DP145))))</f>
        <v>0</v>
      </c>
      <c r="DR145" s="33">
        <f>IF(DR$9="",0,IF(OR(DR$9="",DAY(EOMONTH(DR$9,0))=0),0,IF((DR$41-((SUMIFS(условия!$194:$194,условия!$8:$8,"&lt;="&amp;DR$9,условия!$9:$9,"&gt;="&amp;DR$9)/DAY(EOMONTH(DR$9,0)))*2*DR$41-DQ145))&lt;0,DQ145+DR$41,IF((SUMIFS(условия!$194:$194,условия!$8:$8,"&lt;="&amp;DR$9,условия!$9:$9,"&gt;="&amp;DR$9)/DAY(EOMONTH(DR$9,0)))*2*DR$41-DQ145&lt;0,0,(SUMIFS(условия!$194:$194,условия!$8:$8,"&lt;="&amp;DR$9,условия!$9:$9,"&gt;="&amp;DR$9)/DAY(EOMONTH(DR$9,0)))*2*DR$41-DQ145))))</f>
        <v>0</v>
      </c>
      <c r="DS145" s="33">
        <f>IF(DS$9="",0,IF(OR(DS$9="",DAY(EOMONTH(DS$9,0))=0),0,IF((DS$41-((SUMIFS(условия!$194:$194,условия!$8:$8,"&lt;="&amp;DS$9,условия!$9:$9,"&gt;="&amp;DS$9)/DAY(EOMONTH(DS$9,0)))*2*DS$41-DR145))&lt;0,DR145+DS$41,IF((SUMIFS(условия!$194:$194,условия!$8:$8,"&lt;="&amp;DS$9,условия!$9:$9,"&gt;="&amp;DS$9)/DAY(EOMONTH(DS$9,0)))*2*DS$41-DR145&lt;0,0,(SUMIFS(условия!$194:$194,условия!$8:$8,"&lt;="&amp;DS$9,условия!$9:$9,"&gt;="&amp;DS$9)/DAY(EOMONTH(DS$9,0)))*2*DS$41-DR145))))</f>
        <v>368530.0920173924</v>
      </c>
      <c r="DT145" s="33">
        <f>IF(DT$9="",0,IF(OR(DT$9="",DAY(EOMONTH(DT$9,0))=0),0,IF((DT$41-((SUMIFS(условия!$194:$194,условия!$8:$8,"&lt;="&amp;DT$9,условия!$9:$9,"&gt;="&amp;DT$9)/DAY(EOMONTH(DT$9,0)))*2*DT$41-DS145))&lt;0,DS145+DT$41,IF((SUMIFS(условия!$194:$194,условия!$8:$8,"&lt;="&amp;DT$9,условия!$9:$9,"&gt;="&amp;DT$9)/DAY(EOMONTH(DT$9,0)))*2*DT$41-DS145&lt;0,0,(SUMIFS(условия!$194:$194,условия!$8:$8,"&lt;="&amp;DT$9,условия!$9:$9,"&gt;="&amp;DT$9)/DAY(EOMONTH(DT$9,0)))*2*DT$41-DS145))))</f>
        <v>0</v>
      </c>
      <c r="DU145" s="33">
        <f>IF(DU$9="",0,IF(OR(DU$9="",DAY(EOMONTH(DU$9,0))=0),0,IF((DU$41-((SUMIFS(условия!$194:$194,условия!$8:$8,"&lt;="&amp;DU$9,условия!$9:$9,"&gt;="&amp;DU$9)/DAY(EOMONTH(DU$9,0)))*2*DU$41-DT145))&lt;0,DT145+DU$41,IF((SUMIFS(условия!$194:$194,условия!$8:$8,"&lt;="&amp;DU$9,условия!$9:$9,"&gt;="&amp;DU$9)/DAY(EOMONTH(DU$9,0)))*2*DU$41-DT145&lt;0,0,(SUMIFS(условия!$194:$194,условия!$8:$8,"&lt;="&amp;DU$9,условия!$9:$9,"&gt;="&amp;DU$9)/DAY(EOMONTH(DU$9,0)))*2*DU$41-DT145))))</f>
        <v>531357.52754794562</v>
      </c>
      <c r="DV145" s="33">
        <f>IF(DV$9="",0,IF(OR(DV$9="",DAY(EOMONTH(DV$9,0))=0),0,IF((DV$41-((SUMIFS(условия!$194:$194,условия!$8:$8,"&lt;="&amp;DV$9,условия!$9:$9,"&gt;="&amp;DV$9)/DAY(EOMONTH(DV$9,0)))*2*DV$41-DU145))&lt;0,DU145+DV$41,IF((SUMIFS(условия!$194:$194,условия!$8:$8,"&lt;="&amp;DV$9,условия!$9:$9,"&gt;="&amp;DV$9)/DAY(EOMONTH(DV$9,0)))*2*DV$41-DU145&lt;0,0,(SUMIFS(условия!$194:$194,условия!$8:$8,"&lt;="&amp;DV$9,условия!$9:$9,"&gt;="&amp;DV$9)/DAY(EOMONTH(DV$9,0)))*2*DV$41-DU145))))</f>
        <v>0</v>
      </c>
      <c r="DW145" s="33">
        <f>IF(DW$9="",0,IF(OR(DW$9="",DAY(EOMONTH(DW$9,0))=0),0,IF((DW$41-((SUMIFS(условия!$194:$194,условия!$8:$8,"&lt;="&amp;DW$9,условия!$9:$9,"&gt;="&amp;DW$9)/DAY(EOMONTH(DW$9,0)))*2*DW$41-DV145))&lt;0,DV145+DW$41,IF((SUMIFS(условия!$194:$194,условия!$8:$8,"&lt;="&amp;DW$9,условия!$9:$9,"&gt;="&amp;DW$9)/DAY(EOMONTH(DW$9,0)))*2*DW$41-DV145&lt;0,0,(SUMIFS(условия!$194:$194,условия!$8:$8,"&lt;="&amp;DW$9,условия!$9:$9,"&gt;="&amp;DW$9)/DAY(EOMONTH(DW$9,0)))*2*DW$41-DV145))))</f>
        <v>197871.90059244324</v>
      </c>
      <c r="DX145" s="33">
        <f>IF(DX$9="",0,IF(OR(DX$9="",DAY(EOMONTH(DX$9,0))=0),0,IF((DX$41-((SUMIFS(условия!$194:$194,условия!$8:$8,"&lt;="&amp;DX$9,условия!$9:$9,"&gt;="&amp;DX$9)/DAY(EOMONTH(DX$9,0)))*2*DX$41-DW145))&lt;0,DW145+DX$41,IF((SUMIFS(условия!$194:$194,условия!$8:$8,"&lt;="&amp;DX$9,условия!$9:$9,"&gt;="&amp;DX$9)/DAY(EOMONTH(DX$9,0)))*2*DX$41-DW145&lt;0,0,(SUMIFS(условия!$194:$194,условия!$8:$8,"&lt;="&amp;DX$9,условия!$9:$9,"&gt;="&amp;DX$9)/DAY(EOMONTH(DX$9,0)))*2*DX$41-DW145))))</f>
        <v>0</v>
      </c>
      <c r="DY145" s="33">
        <f>IF(DY$9="",0,IF(OR(DY$9="",DAY(EOMONTH(DY$9,0))=0),0,IF((DY$41-((SUMIFS(условия!$194:$194,условия!$8:$8,"&lt;="&amp;DY$9,условия!$9:$9,"&gt;="&amp;DY$9)/DAY(EOMONTH(DY$9,0)))*2*DY$41-DX145))&lt;0,DX145+DY$41,IF((SUMIFS(условия!$194:$194,условия!$8:$8,"&lt;="&amp;DY$9,условия!$9:$9,"&gt;="&amp;DY$9)/DAY(EOMONTH(DY$9,0)))*2*DY$41-DX145&lt;0,0,(SUMIFS(условия!$194:$194,условия!$8:$8,"&lt;="&amp;DY$9,условия!$9:$9,"&gt;="&amp;DY$9)/DAY(EOMONTH(DY$9,0)))*2*DY$41-DX145))))</f>
        <v>462996.68056134623</v>
      </c>
      <c r="DZ145" s="33">
        <f>IF(DZ$9="",0,IF(OR(DZ$9="",DAY(EOMONTH(DZ$9,0))=0),0,IF((DZ$41-((SUMIFS(условия!$194:$194,условия!$8:$8,"&lt;="&amp;DZ$9,условия!$9:$9,"&gt;="&amp;DZ$9)/DAY(EOMONTH(DZ$9,0)))*2*DZ$41-DY145))&lt;0,DY145+DZ$41,IF((SUMIFS(условия!$194:$194,условия!$8:$8,"&lt;="&amp;DZ$9,условия!$9:$9,"&gt;="&amp;DZ$9)/DAY(EOMONTH(DZ$9,0)))*2*DZ$41-DY145&lt;0,0,(SUMIFS(условия!$194:$194,условия!$8:$8,"&lt;="&amp;DZ$9,условия!$9:$9,"&gt;="&amp;DZ$9)/DAY(EOMONTH(DZ$9,0)))*2*DZ$41-DY145))))</f>
        <v>0</v>
      </c>
      <c r="EA145" s="33">
        <f>IF(EA$9="",0,IF(OR(EA$9="",DAY(EOMONTH(EA$9,0))=0),0,IF((EA$41-((SUMIFS(условия!$194:$194,условия!$8:$8,"&lt;="&amp;EA$9,условия!$9:$9,"&gt;="&amp;EA$9)/DAY(EOMONTH(EA$9,0)))*2*EA$41-DZ145))&lt;0,DZ145+EA$41,IF((SUMIFS(условия!$194:$194,условия!$8:$8,"&lt;="&amp;EA$9,условия!$9:$9,"&gt;="&amp;EA$9)/DAY(EOMONTH(EA$9,0)))*2*EA$41-DZ145&lt;0,0,(SUMIFS(условия!$194:$194,условия!$8:$8,"&lt;="&amp;EA$9,условия!$9:$9,"&gt;="&amp;EA$9)/DAY(EOMONTH(EA$9,0)))*2*EA$41-DZ145))))</f>
        <v>77985.074426921376</v>
      </c>
      <c r="EB145" s="33">
        <f>IF(EB$9="",0,IF(OR(EB$9="",DAY(EOMONTH(EB$9,0))=0),0,IF((EB$41-((SUMIFS(условия!$194:$194,условия!$8:$8,"&lt;="&amp;EB$9,условия!$9:$9,"&gt;="&amp;EB$9)/DAY(EOMONTH(EB$9,0)))*2*EB$41-EA145))&lt;0,EA145+EB$41,IF((SUMIFS(условия!$194:$194,условия!$8:$8,"&lt;="&amp;EB$9,условия!$9:$9,"&gt;="&amp;EB$9)/DAY(EOMONTH(EB$9,0)))*2*EB$41-EA145&lt;0,0,(SUMIFS(условия!$194:$194,условия!$8:$8,"&lt;="&amp;EB$9,условия!$9:$9,"&gt;="&amp;EB$9)/DAY(EOMONTH(EB$9,0)))*2*EB$41-EA145))))</f>
        <v>0</v>
      </c>
      <c r="EC145" s="33">
        <f>IF(EC$9="",0,IF(OR(EC$9="",DAY(EOMONTH(EC$9,0))=0),0,IF((EC$41-((SUMIFS(условия!$194:$194,условия!$8:$8,"&lt;="&amp;EC$9,условия!$9:$9,"&gt;="&amp;EC$9)/DAY(EOMONTH(EC$9,0)))*2*EC$41-EB145))&lt;0,EB145+EC$41,IF((SUMIFS(условия!$194:$194,условия!$8:$8,"&lt;="&amp;EC$9,условия!$9:$9,"&gt;="&amp;EC$9)/DAY(EOMONTH(EC$9,0)))*2*EC$41-EB145&lt;0,0,(SUMIFS(условия!$194:$194,условия!$8:$8,"&lt;="&amp;EC$9,условия!$9:$9,"&gt;="&amp;EC$9)/DAY(EOMONTH(EC$9,0)))*2*EC$41-EB145))))</f>
        <v>0</v>
      </c>
      <c r="ED145" s="33">
        <f>IF(ED$9="",0,IF(OR(ED$9="",DAY(EOMONTH(ED$9,0))=0),0,IF((ED$41-((SUMIFS(условия!$194:$194,условия!$8:$8,"&lt;="&amp;ED$9,условия!$9:$9,"&gt;="&amp;ED$9)/DAY(EOMONTH(ED$9,0)))*2*ED$41-EC145))&lt;0,EC145+ED$41,IF((SUMIFS(условия!$194:$194,условия!$8:$8,"&lt;="&amp;ED$9,условия!$9:$9,"&gt;="&amp;ED$9)/DAY(EOMONTH(ED$9,0)))*2*ED$41-EC145&lt;0,0,(SUMIFS(условия!$194:$194,условия!$8:$8,"&lt;="&amp;ED$9,условия!$9:$9,"&gt;="&amp;ED$9)/DAY(EOMONTH(ED$9,0)))*2*ED$41-EC145))))</f>
        <v>60084.303963156621</v>
      </c>
      <c r="EE145" s="33">
        <f>IF(EE$9="",0,IF(OR(EE$9="",DAY(EOMONTH(EE$9,0))=0),0,IF((EE$41-((SUMIFS(условия!$194:$194,условия!$8:$8,"&lt;="&amp;EE$9,условия!$9:$9,"&gt;="&amp;EE$9)/DAY(EOMONTH(EE$9,0)))*2*EE$41-ED145))&lt;0,ED145+EE$41,IF((SUMIFS(условия!$194:$194,условия!$8:$8,"&lt;="&amp;EE$9,условия!$9:$9,"&gt;="&amp;EE$9)/DAY(EOMONTH(EE$9,0)))*2*EE$41-ED145&lt;0,0,(SUMIFS(условия!$194:$194,условия!$8:$8,"&lt;="&amp;EE$9,условия!$9:$9,"&gt;="&amp;EE$9)/DAY(EOMONTH(EE$9,0)))*2*EE$41-ED145))))</f>
        <v>291853.07714291674</v>
      </c>
      <c r="EF145" s="33">
        <f>IF(EF$9="",0,IF(OR(EF$9="",DAY(EOMONTH(EF$9,0))=0),0,IF((EF$41-((SUMIFS(условия!$194:$194,условия!$8:$8,"&lt;="&amp;EF$9,условия!$9:$9,"&gt;="&amp;EF$9)/DAY(EOMONTH(EF$9,0)))*2*EF$41-EE145))&lt;0,EE145+EF$41,IF((SUMIFS(условия!$194:$194,условия!$8:$8,"&lt;="&amp;EF$9,условия!$9:$9,"&gt;="&amp;EF$9)/DAY(EOMONTH(EF$9,0)))*2*EF$41-EE145&lt;0,0,(SUMIFS(условия!$194:$194,условия!$8:$8,"&lt;="&amp;EF$9,условия!$9:$9,"&gt;="&amp;EF$9)/DAY(EOMONTH(EF$9,0)))*2*EF$41-EE145))))</f>
        <v>61882.179440624721</v>
      </c>
      <c r="EG145" s="33">
        <f>IF(EG$9="",0,IF(OR(EG$9="",DAY(EOMONTH(EG$9,0))=0),0,IF((EG$41-((SUMIFS(условия!$194:$194,условия!$8:$8,"&lt;="&amp;EG$9,условия!$9:$9,"&gt;="&amp;EG$9)/DAY(EOMONTH(EG$9,0)))*2*EG$41-EF145))&lt;0,EF145+EG$41,IF((SUMIFS(условия!$194:$194,условия!$8:$8,"&lt;="&amp;EG$9,условия!$9:$9,"&gt;="&amp;EG$9)/DAY(EOMONTH(EG$9,0)))*2*EG$41-EF145&lt;0,0,(SUMIFS(условия!$194:$194,условия!$8:$8,"&lt;="&amp;EG$9,условия!$9:$9,"&gt;="&amp;EG$9)/DAY(EOMONTH(EG$9,0)))*2*EG$41-EF145))))</f>
        <v>154263.21051766738</v>
      </c>
      <c r="EH145" s="33">
        <f>IF(EH$9="",0,IF(OR(EH$9="",DAY(EOMONTH(EH$9,0))=0),0,IF((EH$41-((SUMIFS(условия!$194:$194,условия!$8:$8,"&lt;="&amp;EH$9,условия!$9:$9,"&gt;="&amp;EH$9)/DAY(EOMONTH(EH$9,0)))*2*EH$41-EG145))&lt;0,EG145+EH$41,IF((SUMIFS(условия!$194:$194,условия!$8:$8,"&lt;="&amp;EH$9,условия!$9:$9,"&gt;="&amp;EH$9)/DAY(EOMONTH(EH$9,0)))*2*EH$41-EG145&lt;0,0,(SUMIFS(условия!$194:$194,условия!$8:$8,"&lt;="&amp;EH$9,условия!$9:$9,"&gt;="&amp;EH$9)/DAY(EOMONTH(EH$9,0)))*2*EH$41-EG145))))</f>
        <v>772506.90778113646</v>
      </c>
      <c r="EI145" s="33">
        <f>IF(EI$9="",0,IF(OR(EI$9="",DAY(EOMONTH(EI$9,0))=0),0,IF((EI$41-((SUMIFS(условия!$194:$194,условия!$8:$8,"&lt;="&amp;EI$9,условия!$9:$9,"&gt;="&amp;EI$9)/DAY(EOMONTH(EI$9,0)))*2*EI$41-EH145))&lt;0,EH145+EI$41,IF((SUMIFS(условия!$194:$194,условия!$8:$8,"&lt;="&amp;EI$9,условия!$9:$9,"&gt;="&amp;EI$9)/DAY(EOMONTH(EI$9,0)))*2*EI$41-EH145&lt;0,0,(SUMIFS(условия!$194:$194,условия!$8:$8,"&lt;="&amp;EI$9,условия!$9:$9,"&gt;="&amp;EI$9)/DAY(EOMONTH(EI$9,0)))*2*EI$41-EH145))))</f>
        <v>0</v>
      </c>
      <c r="EJ145" s="3"/>
      <c r="EK145" s="3"/>
    </row>
    <row r="146" spans="1:14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2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</row>
    <row r="147" spans="1:141" x14ac:dyDescent="0.25">
      <c r="A147" s="3"/>
      <c r="B147" s="3"/>
      <c r="C147" s="3"/>
      <c r="D147" s="3"/>
      <c r="E147" s="3"/>
      <c r="F147" s="10" t="str">
        <f>KPI!$F$157</f>
        <v>Оплата поставщикам СиМ</v>
      </c>
      <c r="G147" s="3"/>
      <c r="H147" s="3"/>
      <c r="I147" s="3"/>
      <c r="J147" s="5" t="str">
        <f>IF($F147="","",INDEX(KPI!$I$11:$I$275,SUMIFS(KPI!$E$11:$E$275,KPI!$F$11:$F$275,$F147)))</f>
        <v>тыс.руб.</v>
      </c>
      <c r="K147" s="3"/>
      <c r="L147" s="3"/>
      <c r="M147" s="3"/>
      <c r="N147" s="3"/>
      <c r="O147" s="3"/>
      <c r="P147" s="3"/>
      <c r="Q147" s="12">
        <f>SUM(S147:EJ147)</f>
        <v>8720258.3881114591</v>
      </c>
      <c r="R147" s="3"/>
      <c r="S147" s="55"/>
      <c r="T147" s="33">
        <f>S145+T$41-T145</f>
        <v>0</v>
      </c>
      <c r="U147" s="33">
        <f t="shared" ref="U147:CF147" si="57">T145+U$41-U145</f>
        <v>0</v>
      </c>
      <c r="V147" s="33">
        <f t="shared" si="57"/>
        <v>0</v>
      </c>
      <c r="W147" s="33">
        <f t="shared" si="57"/>
        <v>0</v>
      </c>
      <c r="X147" s="33">
        <f t="shared" si="57"/>
        <v>0</v>
      </c>
      <c r="Y147" s="33">
        <f>X145+Y$41-Y145</f>
        <v>10559.560457856402</v>
      </c>
      <c r="Z147" s="33">
        <f t="shared" si="57"/>
        <v>-3.7383870221674444E-13</v>
      </c>
      <c r="AA147" s="33">
        <f t="shared" si="57"/>
        <v>0</v>
      </c>
      <c r="AB147" s="33">
        <f t="shared" si="57"/>
        <v>0</v>
      </c>
      <c r="AC147" s="33">
        <f t="shared" si="57"/>
        <v>0</v>
      </c>
      <c r="AD147" s="33">
        <f t="shared" si="57"/>
        <v>0</v>
      </c>
      <c r="AE147" s="33">
        <f t="shared" si="57"/>
        <v>6329.4255983350649</v>
      </c>
      <c r="AF147" s="33">
        <f t="shared" si="57"/>
        <v>0</v>
      </c>
      <c r="AG147" s="33">
        <f>AF145+AG$41-AG145</f>
        <v>18764.182940104067</v>
      </c>
      <c r="AH147" s="33">
        <f t="shared" si="57"/>
        <v>0</v>
      </c>
      <c r="AI147" s="33">
        <f t="shared" si="57"/>
        <v>0</v>
      </c>
      <c r="AJ147" s="33">
        <f t="shared" si="57"/>
        <v>0</v>
      </c>
      <c r="AK147" s="33">
        <f t="shared" si="57"/>
        <v>0</v>
      </c>
      <c r="AL147" s="33">
        <f t="shared" si="57"/>
        <v>7561.6752869094689</v>
      </c>
      <c r="AM147" s="33">
        <f t="shared" si="57"/>
        <v>0</v>
      </c>
      <c r="AN147" s="33">
        <f t="shared" si="57"/>
        <v>17149.329384557721</v>
      </c>
      <c r="AO147" s="33">
        <f t="shared" si="57"/>
        <v>7773.9439523829442</v>
      </c>
      <c r="AP147" s="33">
        <f t="shared" si="57"/>
        <v>0</v>
      </c>
      <c r="AQ147" s="33">
        <f t="shared" si="57"/>
        <v>35923.127042397529</v>
      </c>
      <c r="AR147" s="33">
        <f t="shared" si="57"/>
        <v>0</v>
      </c>
      <c r="AS147" s="33">
        <f t="shared" si="57"/>
        <v>16618.692973485926</v>
      </c>
      <c r="AT147" s="33">
        <f t="shared" si="57"/>
        <v>0</v>
      </c>
      <c r="AU147" s="33">
        <f t="shared" si="57"/>
        <v>32205.622824224782</v>
      </c>
      <c r="AV147" s="33">
        <f t="shared" si="57"/>
        <v>0</v>
      </c>
      <c r="AW147" s="33">
        <f t="shared" si="57"/>
        <v>0</v>
      </c>
      <c r="AX147" s="33">
        <f t="shared" si="57"/>
        <v>0</v>
      </c>
      <c r="AY147" s="33">
        <f t="shared" si="57"/>
        <v>13705.123130284206</v>
      </c>
      <c r="AZ147" s="33">
        <f t="shared" si="57"/>
        <v>41159.403947824576</v>
      </c>
      <c r="BA147" s="33">
        <f t="shared" si="57"/>
        <v>27266.705217956231</v>
      </c>
      <c r="BB147" s="33">
        <f t="shared" si="57"/>
        <v>0</v>
      </c>
      <c r="BC147" s="33">
        <f t="shared" si="57"/>
        <v>87300.297543019187</v>
      </c>
      <c r="BD147" s="33">
        <f t="shared" si="57"/>
        <v>0</v>
      </c>
      <c r="BE147" s="33">
        <f t="shared" si="57"/>
        <v>0</v>
      </c>
      <c r="BF147" s="33">
        <f t="shared" si="57"/>
        <v>0</v>
      </c>
      <c r="BG147" s="33">
        <f t="shared" si="57"/>
        <v>68787.106280257125</v>
      </c>
      <c r="BH147" s="33">
        <f t="shared" si="57"/>
        <v>0</v>
      </c>
      <c r="BI147" s="33">
        <f t="shared" si="57"/>
        <v>0</v>
      </c>
      <c r="BJ147" s="33">
        <f t="shared" si="57"/>
        <v>21231.045051624602</v>
      </c>
      <c r="BK147" s="33">
        <f t="shared" si="57"/>
        <v>0</v>
      </c>
      <c r="BL147" s="33">
        <f t="shared" si="57"/>
        <v>94743.24210129687</v>
      </c>
      <c r="BM147" s="33">
        <f t="shared" si="57"/>
        <v>0</v>
      </c>
      <c r="BN147" s="33">
        <f t="shared" si="57"/>
        <v>166272.54772643879</v>
      </c>
      <c r="BO147" s="33">
        <f t="shared" si="57"/>
        <v>0</v>
      </c>
      <c r="BP147" s="33">
        <f t="shared" si="57"/>
        <v>0</v>
      </c>
      <c r="BQ147" s="33">
        <f t="shared" si="57"/>
        <v>0</v>
      </c>
      <c r="BR147" s="33">
        <f t="shared" si="57"/>
        <v>156668.48275079773</v>
      </c>
      <c r="BS147" s="33">
        <f t="shared" si="57"/>
        <v>0</v>
      </c>
      <c r="BT147" s="33">
        <f t="shared" si="57"/>
        <v>68750.041118111301</v>
      </c>
      <c r="BU147" s="33">
        <f t="shared" si="57"/>
        <v>0</v>
      </c>
      <c r="BV147" s="33">
        <f t="shared" si="57"/>
        <v>52770.043281411701</v>
      </c>
      <c r="BW147" s="33">
        <f t="shared" si="57"/>
        <v>0</v>
      </c>
      <c r="BX147" s="33">
        <f t="shared" si="57"/>
        <v>142087.90067766779</v>
      </c>
      <c r="BY147" s="33">
        <f t="shared" si="57"/>
        <v>0</v>
      </c>
      <c r="BZ147" s="33">
        <f t="shared" si="57"/>
        <v>260734.91381917387</v>
      </c>
      <c r="CA147" s="33">
        <f t="shared" si="57"/>
        <v>0</v>
      </c>
      <c r="CB147" s="33">
        <f t="shared" si="57"/>
        <v>0</v>
      </c>
      <c r="CC147" s="33">
        <f t="shared" si="57"/>
        <v>0</v>
      </c>
      <c r="CD147" s="33">
        <f t="shared" si="57"/>
        <v>397592.83182301593</v>
      </c>
      <c r="CE147" s="33">
        <f t="shared" si="57"/>
        <v>0</v>
      </c>
      <c r="CF147" s="33">
        <f t="shared" si="57"/>
        <v>0</v>
      </c>
      <c r="CG147" s="33">
        <f t="shared" ref="CG147:EI147" si="58">CF145+CG$41-CG145</f>
        <v>0</v>
      </c>
      <c r="CH147" s="33">
        <f t="shared" si="58"/>
        <v>0</v>
      </c>
      <c r="CI147" s="33">
        <f t="shared" si="58"/>
        <v>0</v>
      </c>
      <c r="CJ147" s="33">
        <f t="shared" si="58"/>
        <v>267111.18717247527</v>
      </c>
      <c r="CK147" s="33">
        <f t="shared" si="58"/>
        <v>0</v>
      </c>
      <c r="CL147" s="33">
        <f t="shared" si="58"/>
        <v>272143.83539629879</v>
      </c>
      <c r="CM147" s="33">
        <f t="shared" si="58"/>
        <v>185212.83802474392</v>
      </c>
      <c r="CN147" s="33">
        <f t="shared" si="58"/>
        <v>0</v>
      </c>
      <c r="CO147" s="33">
        <f t="shared" si="58"/>
        <v>0</v>
      </c>
      <c r="CP147" s="33">
        <f t="shared" si="58"/>
        <v>146361.19375406485</v>
      </c>
      <c r="CQ147" s="33">
        <f t="shared" si="58"/>
        <v>0</v>
      </c>
      <c r="CR147" s="33">
        <f t="shared" si="58"/>
        <v>258055.06131047691</v>
      </c>
      <c r="CS147" s="33">
        <f t="shared" si="58"/>
        <v>0</v>
      </c>
      <c r="CT147" s="33">
        <f t="shared" si="58"/>
        <v>0</v>
      </c>
      <c r="CU147" s="33">
        <f t="shared" si="58"/>
        <v>0</v>
      </c>
      <c r="CV147" s="33">
        <f t="shared" si="58"/>
        <v>234808.48763364053</v>
      </c>
      <c r="CW147" s="33">
        <f t="shared" si="58"/>
        <v>0</v>
      </c>
      <c r="CX147" s="33">
        <f t="shared" si="58"/>
        <v>509312.27071612125</v>
      </c>
      <c r="CY147" s="33">
        <f t="shared" si="58"/>
        <v>0</v>
      </c>
      <c r="CZ147" s="33">
        <f t="shared" si="58"/>
        <v>0</v>
      </c>
      <c r="DA147" s="33">
        <f t="shared" si="58"/>
        <v>0</v>
      </c>
      <c r="DB147" s="33">
        <f t="shared" si="58"/>
        <v>436473.31206705567</v>
      </c>
      <c r="DC147" s="33">
        <f t="shared" si="58"/>
        <v>0</v>
      </c>
      <c r="DD147" s="33">
        <f t="shared" si="58"/>
        <v>38990.297778511427</v>
      </c>
      <c r="DE147" s="33">
        <f t="shared" si="58"/>
        <v>0</v>
      </c>
      <c r="DF147" s="33">
        <f t="shared" si="58"/>
        <v>0</v>
      </c>
      <c r="DG147" s="33">
        <f t="shared" si="58"/>
        <v>99511.300541296077</v>
      </c>
      <c r="DH147" s="33">
        <f t="shared" si="58"/>
        <v>321792.30409287137</v>
      </c>
      <c r="DI147" s="33">
        <f t="shared" si="58"/>
        <v>0</v>
      </c>
      <c r="DJ147" s="33">
        <f t="shared" si="58"/>
        <v>431786.97602361871</v>
      </c>
      <c r="DK147" s="33">
        <f t="shared" si="58"/>
        <v>254001.0189547718</v>
      </c>
      <c r="DL147" s="33">
        <f t="shared" si="58"/>
        <v>0</v>
      </c>
      <c r="DM147" s="33">
        <f t="shared" si="58"/>
        <v>0</v>
      </c>
      <c r="DN147" s="33">
        <f t="shared" si="58"/>
        <v>224006.36515384787</v>
      </c>
      <c r="DO147" s="33">
        <f t="shared" si="58"/>
        <v>0</v>
      </c>
      <c r="DP147" s="33">
        <f t="shared" si="58"/>
        <v>307084.52535476425</v>
      </c>
      <c r="DQ147" s="33">
        <f t="shared" si="58"/>
        <v>0</v>
      </c>
      <c r="DR147" s="33">
        <f t="shared" si="58"/>
        <v>0</v>
      </c>
      <c r="DS147" s="33">
        <f t="shared" si="58"/>
        <v>0</v>
      </c>
      <c r="DT147" s="33">
        <f t="shared" si="58"/>
        <v>368530.0920173924</v>
      </c>
      <c r="DU147" s="33">
        <f t="shared" si="58"/>
        <v>0</v>
      </c>
      <c r="DV147" s="33">
        <f t="shared" si="58"/>
        <v>531357.52754794562</v>
      </c>
      <c r="DW147" s="33">
        <f t="shared" si="58"/>
        <v>0</v>
      </c>
      <c r="DX147" s="33">
        <f t="shared" si="58"/>
        <v>197871.90059244324</v>
      </c>
      <c r="DY147" s="33">
        <f t="shared" si="58"/>
        <v>0</v>
      </c>
      <c r="DZ147" s="33">
        <f t="shared" si="58"/>
        <v>462996.68056134623</v>
      </c>
      <c r="EA147" s="33">
        <f t="shared" si="58"/>
        <v>0</v>
      </c>
      <c r="EB147" s="33">
        <f t="shared" si="58"/>
        <v>77985.074426921376</v>
      </c>
      <c r="EC147" s="33">
        <f t="shared" si="58"/>
        <v>0</v>
      </c>
      <c r="ED147" s="33">
        <f t="shared" si="58"/>
        <v>0</v>
      </c>
      <c r="EE147" s="33">
        <f t="shared" si="58"/>
        <v>0</v>
      </c>
      <c r="EF147" s="33">
        <f t="shared" si="58"/>
        <v>495272.34013994812</v>
      </c>
      <c r="EG147" s="33">
        <f t="shared" si="58"/>
        <v>75131.646140633733</v>
      </c>
      <c r="EH147" s="33">
        <f t="shared" si="58"/>
        <v>0</v>
      </c>
      <c r="EI147" s="33">
        <f t="shared" si="58"/>
        <v>772506.90778113646</v>
      </c>
      <c r="EJ147" s="3"/>
      <c r="EK147" s="3"/>
    </row>
    <row r="148" spans="1:14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2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</row>
    <row r="149" spans="1:141" x14ac:dyDescent="0.25">
      <c r="A149" s="3"/>
      <c r="B149" s="3"/>
      <c r="C149" s="3"/>
      <c r="D149" s="3"/>
      <c r="E149" s="3"/>
      <c r="F149" s="10" t="str">
        <f>KPI!$F$158</f>
        <v>Производственные расходы</v>
      </c>
      <c r="G149" s="3"/>
      <c r="H149" s="3"/>
      <c r="I149" s="3"/>
      <c r="J149" s="5" t="str">
        <f>IF($F149="","",INDEX(KPI!$I$11:$I$275,SUMIFS(KPI!$E$11:$E$275,KPI!$F$11:$F$275,$F149)))</f>
        <v>тыс.руб.</v>
      </c>
      <c r="K149" s="3"/>
      <c r="L149" s="3"/>
      <c r="M149" s="3"/>
      <c r="N149" s="3"/>
      <c r="O149" s="3"/>
      <c r="P149" s="3"/>
      <c r="Q149" s="12">
        <f>SUM(S149:EJ149)</f>
        <v>602988.85915132635</v>
      </c>
      <c r="R149" s="3"/>
      <c r="S149" s="55"/>
      <c r="T149" s="33">
        <f>T77+T79+T81+T83+T85+T87</f>
        <v>0</v>
      </c>
      <c r="U149" s="33">
        <f t="shared" ref="U149:CF149" si="59">U77+U79+U81+U83+U85+U87</f>
        <v>0</v>
      </c>
      <c r="V149" s="33">
        <f t="shared" si="59"/>
        <v>430.5</v>
      </c>
      <c r="W149" s="33">
        <f t="shared" si="59"/>
        <v>430.5</v>
      </c>
      <c r="X149" s="33">
        <f t="shared" si="59"/>
        <v>984.63412645161293</v>
      </c>
      <c r="Y149" s="33">
        <f t="shared" si="59"/>
        <v>861</v>
      </c>
      <c r="Z149" s="33">
        <f t="shared" si="59"/>
        <v>871.22544870967738</v>
      </c>
      <c r="AA149" s="33">
        <f t="shared" si="59"/>
        <v>942.36699251612902</v>
      </c>
      <c r="AB149" s="33">
        <f t="shared" si="59"/>
        <v>931.98224245161282</v>
      </c>
      <c r="AC149" s="33">
        <f t="shared" si="59"/>
        <v>980.67892412903223</v>
      </c>
      <c r="AD149" s="33">
        <f t="shared" si="59"/>
        <v>991.82824993548388</v>
      </c>
      <c r="AE149" s="33">
        <f t="shared" si="59"/>
        <v>904.83661935483872</v>
      </c>
      <c r="AF149" s="33">
        <f t="shared" si="59"/>
        <v>1214.7984697393549</v>
      </c>
      <c r="AG149" s="33">
        <f t="shared" si="59"/>
        <v>966.18549757935477</v>
      </c>
      <c r="AH149" s="33">
        <f t="shared" si="59"/>
        <v>1195.3778071741935</v>
      </c>
      <c r="AI149" s="33">
        <f t="shared" si="59"/>
        <v>996.33760232051611</v>
      </c>
      <c r="AJ149" s="33">
        <f t="shared" si="59"/>
        <v>998.05001422451608</v>
      </c>
      <c r="AK149" s="33">
        <f t="shared" si="59"/>
        <v>989.32873614038704</v>
      </c>
      <c r="AL149" s="33">
        <f t="shared" si="59"/>
        <v>1006.7776325202581</v>
      </c>
      <c r="AM149" s="33">
        <f t="shared" si="59"/>
        <v>1083.9126470028386</v>
      </c>
      <c r="AN149" s="33">
        <f t="shared" si="59"/>
        <v>1253.5803553858063</v>
      </c>
      <c r="AO149" s="33">
        <f t="shared" si="59"/>
        <v>1234.7236942699353</v>
      </c>
      <c r="AP149" s="33">
        <f t="shared" si="59"/>
        <v>1499.7630055556128</v>
      </c>
      <c r="AQ149" s="33">
        <f t="shared" si="59"/>
        <v>923.79979602580647</v>
      </c>
      <c r="AR149" s="33">
        <f t="shared" si="59"/>
        <v>1845.0273127060643</v>
      </c>
      <c r="AS149" s="33">
        <f t="shared" si="59"/>
        <v>1207.0000622905807</v>
      </c>
      <c r="AT149" s="33">
        <f t="shared" si="59"/>
        <v>1785.3395831329028</v>
      </c>
      <c r="AU149" s="33">
        <f t="shared" si="59"/>
        <v>1294.0543008569812</v>
      </c>
      <c r="AV149" s="33">
        <f t="shared" si="59"/>
        <v>1215.7212082869673</v>
      </c>
      <c r="AW149" s="33">
        <f t="shared" si="59"/>
        <v>1273.9107300054711</v>
      </c>
      <c r="AX149" s="33">
        <f t="shared" si="59"/>
        <v>1240.6006900223997</v>
      </c>
      <c r="AY149" s="33">
        <f t="shared" si="59"/>
        <v>1546.7691865154065</v>
      </c>
      <c r="AZ149" s="33">
        <f t="shared" si="59"/>
        <v>1950.2389398825287</v>
      </c>
      <c r="BA149" s="33">
        <f t="shared" si="59"/>
        <v>1977.6434690114068</v>
      </c>
      <c r="BB149" s="33">
        <f t="shared" si="59"/>
        <v>2645.2736482469154</v>
      </c>
      <c r="BC149" s="33">
        <f t="shared" si="59"/>
        <v>1085.0414160103232</v>
      </c>
      <c r="BD149" s="33">
        <f t="shared" si="59"/>
        <v>2494.9586195100906</v>
      </c>
      <c r="BE149" s="33">
        <f t="shared" si="59"/>
        <v>1885.2784915400271</v>
      </c>
      <c r="BF149" s="33">
        <f t="shared" si="59"/>
        <v>2541.4953420516649</v>
      </c>
      <c r="BG149" s="33">
        <f t="shared" si="59"/>
        <v>1979.4682118291978</v>
      </c>
      <c r="BH149" s="33">
        <f t="shared" si="59"/>
        <v>1367.7596636790447</v>
      </c>
      <c r="BI149" s="33">
        <f t="shared" si="59"/>
        <v>1937.0403211502621</v>
      </c>
      <c r="BJ149" s="33">
        <f t="shared" si="59"/>
        <v>1418.4122629101005</v>
      </c>
      <c r="BK149" s="33">
        <f t="shared" si="59"/>
        <v>2502.0153271962477</v>
      </c>
      <c r="BL149" s="33">
        <f t="shared" si="59"/>
        <v>2878.7344940052521</v>
      </c>
      <c r="BM149" s="33">
        <f t="shared" si="59"/>
        <v>3397.3068533269784</v>
      </c>
      <c r="BN149" s="33">
        <f t="shared" si="59"/>
        <v>4303.4258220298261</v>
      </c>
      <c r="BO149" s="33">
        <f t="shared" si="59"/>
        <v>1565.5737648880647</v>
      </c>
      <c r="BP149" s="33">
        <f t="shared" si="59"/>
        <v>3184.8781092578415</v>
      </c>
      <c r="BQ149" s="33">
        <f t="shared" si="59"/>
        <v>3872.7656474688461</v>
      </c>
      <c r="BR149" s="33">
        <f t="shared" si="59"/>
        <v>3076.2764068416031</v>
      </c>
      <c r="BS149" s="33">
        <f t="shared" si="59"/>
        <v>4242.9583861078827</v>
      </c>
      <c r="BT149" s="33">
        <f t="shared" si="59"/>
        <v>998.60329366542408</v>
      </c>
      <c r="BU149" s="33">
        <f t="shared" si="59"/>
        <v>3996.4706820054193</v>
      </c>
      <c r="BV149" s="33">
        <f t="shared" si="59"/>
        <v>1024.6451494283081</v>
      </c>
      <c r="BW149" s="33">
        <f t="shared" si="59"/>
        <v>5404.9212607270274</v>
      </c>
      <c r="BX149" s="33">
        <f t="shared" si="59"/>
        <v>4082.841036190584</v>
      </c>
      <c r="BY149" s="33">
        <f t="shared" si="59"/>
        <v>7690.0910121597635</v>
      </c>
      <c r="BZ149" s="33">
        <f t="shared" si="59"/>
        <v>7199.8761373964599</v>
      </c>
      <c r="CA149" s="33">
        <f t="shared" si="59"/>
        <v>4752.0602836155203</v>
      </c>
      <c r="CB149" s="33">
        <f t="shared" si="59"/>
        <v>2948.1777313441967</v>
      </c>
      <c r="CC149" s="33">
        <f t="shared" si="59"/>
        <v>7811.1219222031159</v>
      </c>
      <c r="CD149" s="33">
        <f t="shared" si="59"/>
        <v>2763.9687070759142</v>
      </c>
      <c r="CE149" s="33">
        <f t="shared" si="59"/>
        <v>8333.204723670342</v>
      </c>
      <c r="CF149" s="33">
        <f t="shared" si="59"/>
        <v>1643.6334210660002</v>
      </c>
      <c r="CG149" s="33">
        <f t="shared" ref="CG149:EI149" si="60">CG77+CG79+CG81+CG83+CG85+CG87</f>
        <v>4448.8275463144491</v>
      </c>
      <c r="CH149" s="33">
        <f t="shared" si="60"/>
        <v>3455.083635064897</v>
      </c>
      <c r="CI149" s="33">
        <f t="shared" si="60"/>
        <v>5846.7476905951007</v>
      </c>
      <c r="CJ149" s="33">
        <f t="shared" si="60"/>
        <v>7186.0000851723016</v>
      </c>
      <c r="CK149" s="33">
        <f t="shared" si="60"/>
        <v>8404.3207898792425</v>
      </c>
      <c r="CL149" s="33">
        <f t="shared" si="60"/>
        <v>10974.856952838356</v>
      </c>
      <c r="CM149" s="33">
        <f t="shared" si="60"/>
        <v>4245.2181366474069</v>
      </c>
      <c r="CN149" s="33">
        <f t="shared" si="60"/>
        <v>4812.5499153191367</v>
      </c>
      <c r="CO149" s="33">
        <f t="shared" si="60"/>
        <v>8424.3942755827829</v>
      </c>
      <c r="CP149" s="33">
        <f t="shared" si="60"/>
        <v>4579.7696258549804</v>
      </c>
      <c r="CQ149" s="33">
        <f t="shared" si="60"/>
        <v>9106.8559389352122</v>
      </c>
      <c r="CR149" s="33">
        <f t="shared" si="60"/>
        <v>1643.6334210660002</v>
      </c>
      <c r="CS149" s="33">
        <f t="shared" si="60"/>
        <v>6817.6327184875645</v>
      </c>
      <c r="CT149" s="33">
        <f t="shared" si="60"/>
        <v>2611.7110535345655</v>
      </c>
      <c r="CU149" s="33">
        <f t="shared" si="60"/>
        <v>8683.8485861758618</v>
      </c>
      <c r="CV149" s="33">
        <f t="shared" si="60"/>
        <v>7552.4686175341922</v>
      </c>
      <c r="CW149" s="33">
        <f t="shared" si="60"/>
        <v>12091.141154588167</v>
      </c>
      <c r="CX149" s="33">
        <f t="shared" si="60"/>
        <v>12503.351760834537</v>
      </c>
      <c r="CY149" s="33">
        <f t="shared" si="60"/>
        <v>6602.0217760899686</v>
      </c>
      <c r="CZ149" s="33">
        <f t="shared" si="60"/>
        <v>1643.6334210660002</v>
      </c>
      <c r="DA149" s="33">
        <f t="shared" si="60"/>
        <v>12679.826503443695</v>
      </c>
      <c r="DB149" s="33">
        <f t="shared" si="60"/>
        <v>2301.8976084961832</v>
      </c>
      <c r="DC149" s="33">
        <f t="shared" si="60"/>
        <v>13224.864811754898</v>
      </c>
      <c r="DD149" s="33">
        <f t="shared" si="60"/>
        <v>1643.6334210660002</v>
      </c>
      <c r="DE149" s="33">
        <f t="shared" si="60"/>
        <v>5779.0932313478625</v>
      </c>
      <c r="DF149" s="33">
        <f t="shared" si="60"/>
        <v>4828.5597303790701</v>
      </c>
      <c r="DG149" s="33">
        <f t="shared" si="60"/>
        <v>7681.1893145458507</v>
      </c>
      <c r="DH149" s="33">
        <f t="shared" si="60"/>
        <v>10572.602857638121</v>
      </c>
      <c r="DI149" s="33">
        <f t="shared" si="60"/>
        <v>12214.945296518386</v>
      </c>
      <c r="DJ149" s="33">
        <f t="shared" si="60"/>
        <v>16612.081113686287</v>
      </c>
      <c r="DK149" s="33">
        <f t="shared" si="60"/>
        <v>7639.7975407296344</v>
      </c>
      <c r="DL149" s="33">
        <f t="shared" si="60"/>
        <v>6023.075221237691</v>
      </c>
      <c r="DM149" s="33">
        <f t="shared" si="60"/>
        <v>11893.875143898245</v>
      </c>
      <c r="DN149" s="33">
        <f t="shared" si="60"/>
        <v>6098.0241794806425</v>
      </c>
      <c r="DO149" s="33">
        <f t="shared" si="60"/>
        <v>12778.483140076723</v>
      </c>
      <c r="DP149" s="33">
        <f t="shared" si="60"/>
        <v>2566.9686785712465</v>
      </c>
      <c r="DQ149" s="33">
        <f t="shared" si="60"/>
        <v>9995.6570254639373</v>
      </c>
      <c r="DR149" s="33">
        <f t="shared" si="60"/>
        <v>3351.7384239457265</v>
      </c>
      <c r="DS149" s="33">
        <f t="shared" si="60"/>
        <v>12136.117767330588</v>
      </c>
      <c r="DT149" s="33">
        <f t="shared" si="60"/>
        <v>9250.4472408286601</v>
      </c>
      <c r="DU149" s="33">
        <f t="shared" si="60"/>
        <v>16705.042819792692</v>
      </c>
      <c r="DV149" s="33">
        <f t="shared" si="60"/>
        <v>15398.15224688823</v>
      </c>
      <c r="DW149" s="33">
        <f t="shared" si="60"/>
        <v>11094.826909452455</v>
      </c>
      <c r="DX149" s="33">
        <f t="shared" si="60"/>
        <v>2677.1729117073342</v>
      </c>
      <c r="DY149" s="33">
        <f t="shared" si="60"/>
        <v>15738.259982258791</v>
      </c>
      <c r="DZ149" s="33">
        <f t="shared" si="60"/>
        <v>2733.9943107922013</v>
      </c>
      <c r="EA149" s="33">
        <f t="shared" si="60"/>
        <v>16656.842685060656</v>
      </c>
      <c r="EB149" s="33">
        <f t="shared" si="60"/>
        <v>2566.9686785712465</v>
      </c>
      <c r="EC149" s="33">
        <f t="shared" si="60"/>
        <v>6790.1025506985698</v>
      </c>
      <c r="ED149" s="33">
        <f t="shared" si="60"/>
        <v>6875.3693062889834</v>
      </c>
      <c r="EE149" s="33">
        <f t="shared" si="60"/>
        <v>8992.0216207287303</v>
      </c>
      <c r="EF149" s="33">
        <f t="shared" si="60"/>
        <v>13001.484595719201</v>
      </c>
      <c r="EG149" s="33">
        <f t="shared" si="60"/>
        <v>13656.681789450129</v>
      </c>
      <c r="EH149" s="33">
        <f t="shared" si="60"/>
        <v>19361.819997230621</v>
      </c>
      <c r="EI149" s="33">
        <f t="shared" si="60"/>
        <v>7776.4019018703884</v>
      </c>
      <c r="EJ149" s="3"/>
      <c r="EK149" s="3"/>
    </row>
    <row r="150" spans="1:14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2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</row>
    <row r="151" spans="1:141" x14ac:dyDescent="0.25">
      <c r="A151" s="3"/>
      <c r="B151" s="3"/>
      <c r="C151" s="3"/>
      <c r="D151" s="3"/>
      <c r="E151" s="3"/>
      <c r="F151" s="10" t="str">
        <f>KPI!$F$160</f>
        <v>Кред. задолж-ть по производственным расходам на конец периода</v>
      </c>
      <c r="G151" s="3"/>
      <c r="H151" s="3"/>
      <c r="I151" s="3"/>
      <c r="J151" s="5" t="str">
        <f>IF($F151="","",INDEX(KPI!$I$11:$I$275,SUMIFS(KPI!$E$11:$E$275,KPI!$F$11:$F$275,$F151)))</f>
        <v>тыс.руб.</v>
      </c>
      <c r="K151" s="3"/>
      <c r="L151" s="3"/>
      <c r="M151" s="3"/>
      <c r="N151" s="3"/>
      <c r="O151" s="3"/>
      <c r="P151" s="3"/>
      <c r="Q151" s="12"/>
      <c r="R151" s="3"/>
      <c r="S151" s="55"/>
      <c r="T151" s="33">
        <f>IF(T$9="",0,IF(OR(T$9="",DAY(EOMONTH(T$9,0))=0),0,IF((T149-((SUMIFS(условия!$196:$196,условия!$8:$8,"&lt;="&amp;T$9,условия!$9:$9,"&gt;="&amp;T$9)/DAY(EOMONTH(T$9,0)))*2*T149-S151))&lt;0,S151+T149,IF((SUMIFS(условия!$196:$196,условия!$8:$8,"&lt;="&amp;T$9,условия!$9:$9,"&gt;="&amp;T$9)/DAY(EOMONTH(T$9,0)))*2*T149-S151&lt;0,0,(SUMIFS(условия!$196:$196,условия!$8:$8,"&lt;="&amp;T$9,условия!$9:$9,"&gt;="&amp;T$9)/DAY(EOMONTH(T$9,0)))*2*T149-S151))))</f>
        <v>0</v>
      </c>
      <c r="U151" s="33">
        <f>IF(U$9="",0,IF(OR(U$9="",DAY(EOMONTH(U$9,0))=0),0,IF((U149-((SUMIFS(условия!$196:$196,условия!$8:$8,"&lt;="&amp;U$9,условия!$9:$9,"&gt;="&amp;U$9)/DAY(EOMONTH(U$9,0)))*2*U149-T151))&lt;0,T151+U149,IF((SUMIFS(условия!$196:$196,условия!$8:$8,"&lt;="&amp;U$9,условия!$9:$9,"&gt;="&amp;U$9)/DAY(EOMONTH(U$9,0)))*2*U149-T151&lt;0,0,(SUMIFS(условия!$196:$196,условия!$8:$8,"&lt;="&amp;U$9,условия!$9:$9,"&gt;="&amp;U$9)/DAY(EOMONTH(U$9,0)))*2*U149-T151))))</f>
        <v>0</v>
      </c>
      <c r="V151" s="33">
        <f>IF(V$9="",0,IF(OR(V$9="",DAY(EOMONTH(V$9,0))=0),0,IF((V149-((SUMIFS(условия!$196:$196,условия!$8:$8,"&lt;="&amp;V$9,условия!$9:$9,"&gt;="&amp;V$9)/DAY(EOMONTH(V$9,0)))*2*V149-U151))&lt;0,U151+V149,IF((SUMIFS(условия!$196:$196,условия!$8:$8,"&lt;="&amp;V$9,условия!$9:$9,"&gt;="&amp;V$9)/DAY(EOMONTH(V$9,0)))*2*V149-U151&lt;0,0,(SUMIFS(условия!$196:$196,условия!$8:$8,"&lt;="&amp;V$9,условия!$9:$9,"&gt;="&amp;V$9)/DAY(EOMONTH(V$9,0)))*2*V149-U151))))</f>
        <v>430.5</v>
      </c>
      <c r="W151" s="33">
        <f>IF(W$9="",0,IF(OR(W$9="",DAY(EOMONTH(W$9,0))=0),0,IF((W149-((SUMIFS(условия!$196:$196,условия!$8:$8,"&lt;="&amp;W$9,условия!$9:$9,"&gt;="&amp;W$9)/DAY(EOMONTH(W$9,0)))*2*W149-V151))&lt;0,V151+W149,IF((SUMIFS(условия!$196:$196,условия!$8:$8,"&lt;="&amp;W$9,условия!$9:$9,"&gt;="&amp;W$9)/DAY(EOMONTH(W$9,0)))*2*W149-V151&lt;0,0,(SUMIFS(условия!$196:$196,условия!$8:$8,"&lt;="&amp;W$9,условия!$9:$9,"&gt;="&amp;W$9)/DAY(EOMONTH(W$9,0)))*2*W149-V151))))</f>
        <v>430.5</v>
      </c>
      <c r="X151" s="33">
        <f>IF(X$9="",0,IF(OR(X$9="",DAY(EOMONTH(X$9,0))=0),0,IF((X149-((SUMIFS(условия!$196:$196,условия!$8:$8,"&lt;="&amp;X$9,условия!$9:$9,"&gt;="&amp;X$9)/DAY(EOMONTH(X$9,0)))*2*X149-W151))&lt;0,W151+X149,IF((SUMIFS(условия!$196:$196,условия!$8:$8,"&lt;="&amp;X$9,условия!$9:$9,"&gt;="&amp;X$9)/DAY(EOMONTH(X$9,0)))*2*X149-W151&lt;0,0,(SUMIFS(условия!$196:$196,условия!$8:$8,"&lt;="&amp;X$9,условия!$9:$9,"&gt;="&amp;X$9)/DAY(EOMONTH(X$9,0)))*2*X149-W151))))</f>
        <v>1415.1341264516129</v>
      </c>
      <c r="Y151" s="33">
        <f>IF(Y$9="",0,IF(OR(Y$9="",DAY(EOMONTH(Y$9,0))=0),0,IF((Y149-((SUMIFS(условия!$196:$196,условия!$8:$8,"&lt;="&amp;Y$9,условия!$9:$9,"&gt;="&amp;Y$9)/DAY(EOMONTH(Y$9,0)))*2*Y149-X151))&lt;0,X151+Y149,IF((SUMIFS(условия!$196:$196,условия!$8:$8,"&lt;="&amp;Y$9,условия!$9:$9,"&gt;="&amp;Y$9)/DAY(EOMONTH(Y$9,0)))*2*Y149-X151&lt;0,0,(SUMIFS(условия!$196:$196,условия!$8:$8,"&lt;="&amp;Y$9,условия!$9:$9,"&gt;="&amp;Y$9)/DAY(EOMONTH(Y$9,0)))*2*Y149-X151))))</f>
        <v>306.86587354838707</v>
      </c>
      <c r="Z151" s="33">
        <f>IF(Z$9="",0,IF(OR(Z$9="",DAY(EOMONTH(Z$9,0))=0),0,IF((Z149-((SUMIFS(условия!$196:$196,условия!$8:$8,"&lt;="&amp;Z$9,условия!$9:$9,"&gt;="&amp;Z$9)/DAY(EOMONTH(Z$9,0)))*2*Z149-Y151))&lt;0,Y151+Z149,IF((SUMIFS(условия!$196:$196,условия!$8:$8,"&lt;="&amp;Z$9,условия!$9:$9,"&gt;="&amp;Z$9)/DAY(EOMONTH(Z$9,0)))*2*Z149-Y151&lt;0,0,(SUMIFS(условия!$196:$196,условия!$8:$8,"&lt;="&amp;Z$9,условия!$9:$9,"&gt;="&amp;Z$9)/DAY(EOMONTH(Z$9,0)))*2*Z149-Y151))))</f>
        <v>1178.0913222580643</v>
      </c>
      <c r="AA151" s="33">
        <f>IF(AA$9="",0,IF(OR(AA$9="",DAY(EOMONTH(AA$9,0))=0),0,IF((AA149-((SUMIFS(условия!$196:$196,условия!$8:$8,"&lt;="&amp;AA$9,условия!$9:$9,"&gt;="&amp;AA$9)/DAY(EOMONTH(AA$9,0)))*2*AA149-Z151))&lt;0,Z151+AA149,IF((SUMIFS(условия!$196:$196,условия!$8:$8,"&lt;="&amp;AA$9,условия!$9:$9,"&gt;="&amp;AA$9)/DAY(EOMONTH(AA$9,0)))*2*AA149-Z151&lt;0,0,(SUMIFS(условия!$196:$196,условия!$8:$8,"&lt;="&amp;AA$9,условия!$9:$9,"&gt;="&amp;AA$9)/DAY(EOMONTH(AA$9,0)))*2*AA149-Z151))))</f>
        <v>645.84479228928217</v>
      </c>
      <c r="AB151" s="33">
        <f>IF(AB$9="",0,IF(OR(AB$9="",DAY(EOMONTH(AB$9,0))=0),0,IF((AB149-((SUMIFS(условия!$196:$196,условия!$8:$8,"&lt;="&amp;AB$9,условия!$9:$9,"&gt;="&amp;AB$9)/DAY(EOMONTH(AB$9,0)))*2*AB149-AA151))&lt;0,AA151+AB149,IF((SUMIFS(условия!$196:$196,условия!$8:$8,"&lt;="&amp;AB$9,условия!$9:$9,"&gt;="&amp;AB$9)/DAY(EOMONTH(AB$9,0)))*2*AB149-AA151&lt;0,0,(SUMIFS(условия!$196:$196,условия!$8:$8,"&lt;="&amp;AB$9,условия!$9:$9,"&gt;="&amp;AB$9)/DAY(EOMONTH(AB$9,0)))*2*AB149-AA151))))</f>
        <v>1577.827034740895</v>
      </c>
      <c r="AC151" s="33">
        <f>IF(AC$9="",0,IF(OR(AC$9="",DAY(EOMONTH(AC$9,0))=0),0,IF((AC149-((SUMIFS(условия!$196:$196,условия!$8:$8,"&lt;="&amp;AC$9,условия!$9:$9,"&gt;="&amp;AC$9)/DAY(EOMONTH(AC$9,0)))*2*AC149-AB151))&lt;0,AB151+AC149,IF((SUMIFS(условия!$196:$196,условия!$8:$8,"&lt;="&amp;AC$9,условия!$9:$9,"&gt;="&amp;AC$9)/DAY(EOMONTH(AC$9,0)))*2*AC149-AB151&lt;0,0,(SUMIFS(условия!$196:$196,условия!$8:$8,"&lt;="&amp;AC$9,условия!$9:$9,"&gt;="&amp;AC$9)/DAY(EOMONTH(AC$9,0)))*2*AC149-AB151))))</f>
        <v>320.2612055088448</v>
      </c>
      <c r="AD151" s="33">
        <f>IF(AD$9="",0,IF(OR(AD$9="",DAY(EOMONTH(AD$9,0))=0),0,IF((AD149-((SUMIFS(условия!$196:$196,условия!$8:$8,"&lt;="&amp;AD$9,условия!$9:$9,"&gt;="&amp;AD$9)/DAY(EOMONTH(AD$9,0)))*2*AD149-AC151))&lt;0,AC151+AD149,IF((SUMIFS(условия!$196:$196,условия!$8:$8,"&lt;="&amp;AD$9,условия!$9:$9,"&gt;="&amp;AD$9)/DAY(EOMONTH(AD$9,0)))*2*AD149-AC151&lt;0,0,(SUMIFS(условия!$196:$196,условия!$8:$8,"&lt;="&amp;AD$9,условия!$9:$9,"&gt;="&amp;AD$9)/DAY(EOMONTH(AD$9,0)))*2*AD149-AC151))))</f>
        <v>1312.0894554443287</v>
      </c>
      <c r="AE151" s="33">
        <f>IF(AE$9="",0,IF(OR(AE$9="",DAY(EOMONTH(AE$9,0))=0),0,IF((AE149-((SUMIFS(условия!$196:$196,условия!$8:$8,"&lt;="&amp;AE$9,условия!$9:$9,"&gt;="&amp;AE$9)/DAY(EOMONTH(AE$9,0)))*2*AE149-AD151))&lt;0,AD151+AE149,IF((SUMIFS(условия!$196:$196,условия!$8:$8,"&lt;="&amp;AE$9,условия!$9:$9,"&gt;="&amp;AE$9)/DAY(EOMONTH(AE$9,0)))*2*AE149-AD151&lt;0,0,(SUMIFS(условия!$196:$196,условия!$8:$8,"&lt;="&amp;AE$9,условия!$9:$9,"&gt;="&amp;AE$9)/DAY(EOMONTH(AE$9,0)))*2*AE149-AD151))))</f>
        <v>439.20722717793979</v>
      </c>
      <c r="AF151" s="33">
        <f>IF(AF$9="",0,IF(OR(AF$9="",DAY(EOMONTH(AF$9,0))=0),0,IF((AF149-((SUMIFS(условия!$196:$196,условия!$8:$8,"&lt;="&amp;AF$9,условия!$9:$9,"&gt;="&amp;AF$9)/DAY(EOMONTH(AF$9,0)))*2*AF149-AE151))&lt;0,AE151+AF149,IF((SUMIFS(условия!$196:$196,условия!$8:$8,"&lt;="&amp;AF$9,условия!$9:$9,"&gt;="&amp;AF$9)/DAY(EOMONTH(AF$9,0)))*2*AF149-AE151&lt;0,0,(SUMIFS(условия!$196:$196,условия!$8:$8,"&lt;="&amp;AF$9,условия!$9:$9,"&gt;="&amp;AF$9)/DAY(EOMONTH(AF$9,0)))*2*AF149-AE151))))</f>
        <v>1654.0056969172947</v>
      </c>
      <c r="AG151" s="33">
        <f>IF(AG$9="",0,IF(OR(AG$9="",DAY(EOMONTH(AG$9,0))=0),0,IF((AG149-((SUMIFS(условия!$196:$196,условия!$8:$8,"&lt;="&amp;AG$9,условия!$9:$9,"&gt;="&amp;AG$9)/DAY(EOMONTH(AG$9,0)))*2*AG149-AF151))&lt;0,AF151+AG149,IF((SUMIFS(условия!$196:$196,условия!$8:$8,"&lt;="&amp;AG$9,условия!$9:$9,"&gt;="&amp;AG$9)/DAY(EOMONTH(AG$9,0)))*2*AG149-AF151&lt;0,0,(SUMIFS(условия!$196:$196,условия!$8:$8,"&lt;="&amp;AG$9,условия!$9:$9,"&gt;="&amp;AG$9)/DAY(EOMONTH(AG$9,0)))*2*AG149-AF151))))</f>
        <v>416.39179789560831</v>
      </c>
      <c r="AH151" s="33">
        <f>IF(AH$9="",0,IF(OR(AH$9="",DAY(EOMONTH(AH$9,0))=0),0,IF((AH149-((SUMIFS(условия!$196:$196,условия!$8:$8,"&lt;="&amp;AH$9,условия!$9:$9,"&gt;="&amp;AH$9)/DAY(EOMONTH(AH$9,0)))*2*AH149-AG151))&lt;0,AG151+AH149,IF((SUMIFS(условия!$196:$196,условия!$8:$8,"&lt;="&amp;AH$9,условия!$9:$9,"&gt;="&amp;AH$9)/DAY(EOMONTH(AH$9,0)))*2*AH149-AG151&lt;0,0,(SUMIFS(условия!$196:$196,условия!$8:$8,"&lt;="&amp;AH$9,условия!$9:$9,"&gt;="&amp;AH$9)/DAY(EOMONTH(AH$9,0)))*2*AH149-AG151))))</f>
        <v>1611.7696050698019</v>
      </c>
      <c r="AI151" s="33">
        <f>IF(AI$9="",0,IF(OR(AI$9="",DAY(EOMONTH(AI$9,0))=0),0,IF((AI149-((SUMIFS(условия!$196:$196,условия!$8:$8,"&lt;="&amp;AI$9,условия!$9:$9,"&gt;="&amp;AI$9)/DAY(EOMONTH(AI$9,0)))*2*AI149-AH151))&lt;0,AH151+AI149,IF((SUMIFS(условия!$196:$196,условия!$8:$8,"&lt;="&amp;AI$9,условия!$9:$9,"&gt;="&amp;AI$9)/DAY(EOMONTH(AI$9,0)))*2*AI149-AH151&lt;0,0,(SUMIFS(условия!$196:$196,условия!$8:$8,"&lt;="&amp;AI$9,условия!$9:$9,"&gt;="&amp;AI$9)/DAY(EOMONTH(AI$9,0)))*2*AI149-AH151))))</f>
        <v>380.90559957123037</v>
      </c>
      <c r="AJ151" s="33">
        <f>IF(AJ$9="",0,IF(OR(AJ$9="",DAY(EOMONTH(AJ$9,0))=0),0,IF((AJ149-((SUMIFS(условия!$196:$196,условия!$8:$8,"&lt;="&amp;AJ$9,условия!$9:$9,"&gt;="&amp;AJ$9)/DAY(EOMONTH(AJ$9,0)))*2*AJ149-AI151))&lt;0,AI151+AJ149,IF((SUMIFS(условия!$196:$196,условия!$8:$8,"&lt;="&amp;AJ$9,условия!$9:$9,"&gt;="&amp;AJ$9)/DAY(EOMONTH(AJ$9,0)))*2*AJ149-AI151&lt;0,0,(SUMIFS(условия!$196:$196,условия!$8:$8,"&lt;="&amp;AJ$9,условия!$9:$9,"&gt;="&amp;AJ$9)/DAY(EOMONTH(AJ$9,0)))*2*AJ149-AI151))))</f>
        <v>1378.9556137957466</v>
      </c>
      <c r="AK151" s="33">
        <f>IF(AK$9="",0,IF(OR(AK$9="",DAY(EOMONTH(AK$9,0))=0),0,IF((AK149-((SUMIFS(условия!$196:$196,условия!$8:$8,"&lt;="&amp;AK$9,условия!$9:$9,"&gt;="&amp;AK$9)/DAY(EOMONTH(AK$9,0)))*2*AK149-AJ151))&lt;0,AJ151+AK149,IF((SUMIFS(условия!$196:$196,условия!$8:$8,"&lt;="&amp;AK$9,условия!$9:$9,"&gt;="&amp;AK$9)/DAY(EOMONTH(AK$9,0)))*2*AK149-AJ151&lt;0,0,(SUMIFS(условия!$196:$196,условия!$8:$8,"&lt;="&amp;AK$9,условия!$9:$9,"&gt;="&amp;AK$9)/DAY(EOMONTH(AK$9,0)))*2*AK149-AJ151))))</f>
        <v>599.70185848502751</v>
      </c>
      <c r="AL151" s="33">
        <f>IF(AL$9="",0,IF(OR(AL$9="",DAY(EOMONTH(AL$9,0))=0),0,IF((AL149-((SUMIFS(условия!$196:$196,условия!$8:$8,"&lt;="&amp;AL$9,условия!$9:$9,"&gt;="&amp;AL$9)/DAY(EOMONTH(AL$9,0)))*2*AL149-AK151))&lt;0,AK151+AL149,IF((SUMIFS(условия!$196:$196,условия!$8:$8,"&lt;="&amp;AL$9,условия!$9:$9,"&gt;="&amp;AL$9)/DAY(EOMONTH(AL$9,0)))*2*AL149-AK151&lt;0,0,(SUMIFS(условия!$196:$196,условия!$8:$8,"&lt;="&amp;AL$9,условия!$9:$9,"&gt;="&amp;AL$9)/DAY(EOMONTH(AL$9,0)))*2*AL149-AK151))))</f>
        <v>1606.4794910052856</v>
      </c>
      <c r="AM151" s="33">
        <f>IF(AM$9="",0,IF(OR(AM$9="",DAY(EOMONTH(AM$9,0))=0),0,IF((AM149-((SUMIFS(условия!$196:$196,условия!$8:$8,"&lt;="&amp;AM$9,условия!$9:$9,"&gt;="&amp;AM$9)/DAY(EOMONTH(AM$9,0)))*2*AM149-AL151))&lt;0,AL151+AM149,IF((SUMIFS(условия!$196:$196,условия!$8:$8,"&lt;="&amp;AM$9,условия!$9:$9,"&gt;="&amp;AM$9)/DAY(EOMONTH(AM$9,0)))*2*AM149-AL151&lt;0,0,(SUMIFS(условия!$196:$196,условия!$8:$8,"&lt;="&amp;AM$9,условия!$9:$9,"&gt;="&amp;AM$9)/DAY(EOMONTH(AM$9,0)))*2*AM149-AL151))))</f>
        <v>491.41595480666001</v>
      </c>
      <c r="AN151" s="33">
        <f>IF(AN$9="",0,IF(OR(AN$9="",DAY(EOMONTH(AN$9,0))=0),0,IF((AN149-((SUMIFS(условия!$196:$196,условия!$8:$8,"&lt;="&amp;AN$9,условия!$9:$9,"&gt;="&amp;AN$9)/DAY(EOMONTH(AN$9,0)))*2*AN149-AM151))&lt;0,AM151+AN149,IF((SUMIFS(условия!$196:$196,условия!$8:$8,"&lt;="&amp;AN$9,условия!$9:$9,"&gt;="&amp;AN$9)/DAY(EOMONTH(AN$9,0)))*2*AN149-AM151&lt;0,0,(SUMIFS(условия!$196:$196,условия!$8:$8,"&lt;="&amp;AN$9,условия!$9:$9,"&gt;="&amp;AN$9)/DAY(EOMONTH(AN$9,0)))*2*AN149-AM151))))</f>
        <v>1744.9963101924664</v>
      </c>
      <c r="AO151" s="33">
        <f>IF(AO$9="",0,IF(OR(AO$9="",DAY(EOMONTH(AO$9,0))=0),0,IF((AO149-((SUMIFS(условия!$196:$196,условия!$8:$8,"&lt;="&amp;AO$9,условия!$9:$9,"&gt;="&amp;AO$9)/DAY(EOMONTH(AO$9,0)))*2*AO149-AN151))&lt;0,AN151+AO149,IF((SUMIFS(условия!$196:$196,условия!$8:$8,"&lt;="&amp;AO$9,условия!$9:$9,"&gt;="&amp;AO$9)/DAY(EOMONTH(AO$9,0)))*2*AO149-AN151&lt;0,0,(SUMIFS(условия!$196:$196,условия!$8:$8,"&lt;="&amp;AO$9,условия!$9:$9,"&gt;="&amp;AO$9)/DAY(EOMONTH(AO$9,0)))*2*AO149-AN151))))</f>
        <v>644.79148516869873</v>
      </c>
      <c r="AP151" s="33">
        <f>IF(AP$9="",0,IF(OR(AP$9="",DAY(EOMONTH(AP$9,0))=0),0,IF((AP149-((SUMIFS(условия!$196:$196,условия!$8:$8,"&lt;="&amp;AP$9,условия!$9:$9,"&gt;="&amp;AP$9)/DAY(EOMONTH(AP$9,0)))*2*AP149-AO151))&lt;0,AO151+AP149,IF((SUMIFS(условия!$196:$196,условия!$8:$8,"&lt;="&amp;AP$9,условия!$9:$9,"&gt;="&amp;AP$9)/DAY(EOMONTH(AP$9,0)))*2*AP149-AO151&lt;0,0,(SUMIFS(условия!$196:$196,условия!$8:$8,"&lt;="&amp;AP$9,условия!$9:$9,"&gt;="&amp;AP$9)/DAY(EOMONTH(AP$9,0)))*2*AP149-AO151))))</f>
        <v>2144.5544907243116</v>
      </c>
      <c r="AQ151" s="33">
        <f>IF(AQ$9="",0,IF(OR(AQ$9="",DAY(EOMONTH(AQ$9,0))=0),0,IF((AQ149-((SUMIFS(условия!$196:$196,условия!$8:$8,"&lt;="&amp;AQ$9,условия!$9:$9,"&gt;="&amp;AQ$9)/DAY(EOMONTH(AQ$9,0)))*2*AQ149-AP151))&lt;0,AP151+AQ149,IF((SUMIFS(условия!$196:$196,условия!$8:$8,"&lt;="&amp;AQ$9,условия!$9:$9,"&gt;="&amp;AQ$9)/DAY(EOMONTH(AQ$9,0)))*2*AQ149-AP151&lt;0,0,(SUMIFS(условия!$196:$196,условия!$8:$8,"&lt;="&amp;AQ$9,условия!$9:$9,"&gt;="&amp;AQ$9)/DAY(EOMONTH(AQ$9,0)))*2*AQ149-AP151))))</f>
        <v>0</v>
      </c>
      <c r="AR151" s="33">
        <f>IF(AR$9="",0,IF(OR(AR$9="",DAY(EOMONTH(AR$9,0))=0),0,IF((AR149-((SUMIFS(условия!$196:$196,условия!$8:$8,"&lt;="&amp;AR$9,условия!$9:$9,"&gt;="&amp;AR$9)/DAY(EOMONTH(AR$9,0)))*2*AR149-AQ151))&lt;0,AQ151+AR149,IF((SUMIFS(условия!$196:$196,условия!$8:$8,"&lt;="&amp;AR$9,условия!$9:$9,"&gt;="&amp;AR$9)/DAY(EOMONTH(AR$9,0)))*2*AR149-AQ151&lt;0,0,(SUMIFS(условия!$196:$196,условия!$8:$8,"&lt;="&amp;AR$9,условия!$9:$9,"&gt;="&amp;AR$9)/DAY(EOMONTH(AR$9,0)))*2*AR149-AQ151))))</f>
        <v>1845.0273127060643</v>
      </c>
      <c r="AS151" s="33">
        <f>IF(AS$9="",0,IF(OR(AS$9="",DAY(EOMONTH(AS$9,0))=0),0,IF((AS149-((SUMIFS(условия!$196:$196,условия!$8:$8,"&lt;="&amp;AS$9,условия!$9:$9,"&gt;="&amp;AS$9)/DAY(EOMONTH(AS$9,0)))*2*AS149-AR151))&lt;0,AR151+AS149,IF((SUMIFS(условия!$196:$196,условия!$8:$8,"&lt;="&amp;AS$9,условия!$9:$9,"&gt;="&amp;AS$9)/DAY(EOMONTH(AS$9,0)))*2*AS149-AR151&lt;0,0,(SUMIFS(условия!$196:$196,условия!$8:$8,"&lt;="&amp;AS$9,условия!$9:$9,"&gt;="&amp;AS$9)/DAY(EOMONTH(AS$9,0)))*2*AS149-AR151))))</f>
        <v>741.40139220232254</v>
      </c>
      <c r="AT151" s="33">
        <f>IF(AT$9="",0,IF(OR(AT$9="",DAY(EOMONTH(AT$9,0))=0),0,IF((AT149-((SUMIFS(условия!$196:$196,условия!$8:$8,"&lt;="&amp;AT$9,условия!$9:$9,"&gt;="&amp;AT$9)/DAY(EOMONTH(AT$9,0)))*2*AT149-AS151))&lt;0,AS151+AT149,IF((SUMIFS(условия!$196:$196,условия!$8:$8,"&lt;="&amp;AT$9,условия!$9:$9,"&gt;="&amp;AT$9)/DAY(EOMONTH(AT$9,0)))*2*AT149-AS151&lt;0,0,(SUMIFS(условия!$196:$196,условия!$8:$8,"&lt;="&amp;AT$9,условия!$9:$9,"&gt;="&amp;AT$9)/DAY(EOMONTH(AT$9,0)))*2*AT149-AS151))))</f>
        <v>2526.7409753352254</v>
      </c>
      <c r="AU151" s="33">
        <f>IF(AU$9="",0,IF(OR(AU$9="",DAY(EOMONTH(AU$9,0))=0),0,IF((AU149-((SUMIFS(условия!$196:$196,условия!$8:$8,"&lt;="&amp;AU$9,условия!$9:$9,"&gt;="&amp;AU$9)/DAY(EOMONTH(AU$9,0)))*2*AU149-AT151))&lt;0,AT151+AU149,IF((SUMIFS(условия!$196:$196,условия!$8:$8,"&lt;="&amp;AU$9,условия!$9:$9,"&gt;="&amp;AU$9)/DAY(EOMONTH(AU$9,0)))*2*AU149-AT151&lt;0,0,(SUMIFS(условия!$196:$196,условия!$8:$8,"&lt;="&amp;AU$9,условия!$9:$9,"&gt;="&amp;AU$9)/DAY(EOMONTH(AU$9,0)))*2*AU149-AT151))))</f>
        <v>61.367626378736986</v>
      </c>
      <c r="AV151" s="33">
        <f>IF(AV$9="",0,IF(OR(AV$9="",DAY(EOMONTH(AV$9,0))=0),0,IF((AV149-((SUMIFS(условия!$196:$196,условия!$8:$8,"&lt;="&amp;AV$9,условия!$9:$9,"&gt;="&amp;AV$9)/DAY(EOMONTH(AV$9,0)))*2*AV149-AU151))&lt;0,AU151+AV149,IF((SUMIFS(условия!$196:$196,условия!$8:$8,"&lt;="&amp;AV$9,условия!$9:$9,"&gt;="&amp;AV$9)/DAY(EOMONTH(AV$9,0)))*2*AV149-AU151&lt;0,0,(SUMIFS(условия!$196:$196,условия!$8:$8,"&lt;="&amp;AV$9,условия!$9:$9,"&gt;="&amp;AV$9)/DAY(EOMONTH(AV$9,0)))*2*AV149-AU151))))</f>
        <v>1277.0888346657043</v>
      </c>
      <c r="AW151" s="33">
        <f>IF(AW$9="",0,IF(OR(AW$9="",DAY(EOMONTH(AW$9,0))=0),0,IF((AW149-((SUMIFS(условия!$196:$196,условия!$8:$8,"&lt;="&amp;AW$9,условия!$9:$9,"&gt;="&amp;AW$9)/DAY(EOMONTH(AW$9,0)))*2*AW149-AV151))&lt;0,AV151+AW149,IF((SUMIFS(условия!$196:$196,условия!$8:$8,"&lt;="&amp;AW$9,условия!$9:$9,"&gt;="&amp;AW$9)/DAY(EOMONTH(AW$9,0)))*2*AW149-AV151&lt;0,0,(SUMIFS(условия!$196:$196,условия!$8:$8,"&lt;="&amp;AW$9,условия!$9:$9,"&gt;="&amp;AW$9)/DAY(EOMONTH(AW$9,0)))*2*AW149-AV151))))</f>
        <v>1270.7326253452379</v>
      </c>
      <c r="AX151" s="33">
        <f>IF(AX$9="",0,IF(OR(AX$9="",DAY(EOMONTH(AX$9,0))=0),0,IF((AX149-((SUMIFS(условия!$196:$196,условия!$8:$8,"&lt;="&amp;AX$9,условия!$9:$9,"&gt;="&amp;AX$9)/DAY(EOMONTH(AX$9,0)))*2*AX149-AW151))&lt;0,AW151+AX149,IF((SUMIFS(условия!$196:$196,условия!$8:$8,"&lt;="&amp;AX$9,условия!$9:$9,"&gt;="&amp;AX$9)/DAY(EOMONTH(AX$9,0)))*2*AX149-AW151&lt;0,0,(SUMIFS(условия!$196:$196,условия!$8:$8,"&lt;="&amp;AX$9,условия!$9:$9,"&gt;="&amp;AX$9)/DAY(EOMONTH(AX$9,0)))*2*AX149-AW151))))</f>
        <v>1130.4300005045679</v>
      </c>
      <c r="AY151" s="33">
        <f>IF(AY$9="",0,IF(OR(AY$9="",DAY(EOMONTH(AY$9,0))=0),0,IF((AY149-((SUMIFS(условия!$196:$196,условия!$8:$8,"&lt;="&amp;AY$9,условия!$9:$9,"&gt;="&amp;AY$9)/DAY(EOMONTH(AY$9,0)))*2*AY149-AX151))&lt;0,AX151+AY149,IF((SUMIFS(условия!$196:$196,условия!$8:$8,"&lt;="&amp;AY$9,условия!$9:$9,"&gt;="&amp;AY$9)/DAY(EOMONTH(AY$9,0)))*2*AY149-AX151&lt;0,0,(SUMIFS(условия!$196:$196,условия!$8:$8,"&lt;="&amp;AY$9,условия!$9:$9,"&gt;="&amp;AY$9)/DAY(EOMONTH(AY$9,0)))*2*AY149-AX151))))</f>
        <v>2677.1991870199745</v>
      </c>
      <c r="AZ151" s="33">
        <f>IF(AZ$9="",0,IF(OR(AZ$9="",DAY(EOMONTH(AZ$9,0))=0),0,IF((AZ149-((SUMIFS(условия!$196:$196,условия!$8:$8,"&lt;="&amp;AZ$9,условия!$9:$9,"&gt;="&amp;AZ$9)/DAY(EOMONTH(AZ$9,0)))*2*AZ149-AY151))&lt;0,AY151+AZ149,IF((SUMIFS(условия!$196:$196,условия!$8:$8,"&lt;="&amp;AZ$9,условия!$9:$9,"&gt;="&amp;AZ$9)/DAY(EOMONTH(AZ$9,0)))*2*AZ149-AY151&lt;0,0,(SUMIFS(условия!$196:$196,условия!$8:$8,"&lt;="&amp;AZ$9,условия!$9:$9,"&gt;="&amp;AZ$9)/DAY(EOMONTH(AZ$9,0)))*2*AZ149-AY151))))</f>
        <v>1223.2786927450829</v>
      </c>
      <c r="BA151" s="33">
        <f>IF(BA$9="",0,IF(OR(BA$9="",DAY(EOMONTH(BA$9,0))=0),0,IF((BA149-((SUMIFS(условия!$196:$196,условия!$8:$8,"&lt;="&amp;BA$9,условия!$9:$9,"&gt;="&amp;BA$9)/DAY(EOMONTH(BA$9,0)))*2*BA149-AZ151))&lt;0,AZ151+BA149,IF((SUMIFS(условия!$196:$196,условия!$8:$8,"&lt;="&amp;BA$9,условия!$9:$9,"&gt;="&amp;BA$9)/DAY(EOMONTH(BA$9,0)))*2*BA149-AZ151&lt;0,0,(SUMIFS(условия!$196:$196,условия!$8:$8,"&lt;="&amp;BA$9,условия!$9:$9,"&gt;="&amp;BA$9)/DAY(EOMONTH(BA$9,0)))*2*BA149-AZ151))))</f>
        <v>3200.9221617564899</v>
      </c>
      <c r="BB151" s="33">
        <f>IF(BB$9="",0,IF(OR(BB$9="",DAY(EOMONTH(BB$9,0))=0),0,IF((BB149-((SUMIFS(условия!$196:$196,условия!$8:$8,"&lt;="&amp;BB$9,условия!$9:$9,"&gt;="&amp;BB$9)/DAY(EOMONTH(BB$9,0)))*2*BB149-BA151))&lt;0,BA151+BB149,IF((SUMIFS(условия!$196:$196,условия!$8:$8,"&lt;="&amp;BB$9,условия!$9:$9,"&gt;="&amp;BB$9)/DAY(EOMONTH(BB$9,0)))*2*BB149-BA151&lt;0,0,(SUMIFS(условия!$196:$196,условия!$8:$8,"&lt;="&amp;BB$9,условия!$9:$9,"&gt;="&amp;BB$9)/DAY(EOMONTH(BB$9,0)))*2*BB149-BA151))))</f>
        <v>2089.6251347373409</v>
      </c>
      <c r="BC151" s="33">
        <f>IF(BC$9="",0,IF(OR(BC$9="",DAY(EOMONTH(BC$9,0))=0),0,IF((BC149-((SUMIFS(условия!$196:$196,условия!$8:$8,"&lt;="&amp;BC$9,условия!$9:$9,"&gt;="&amp;BC$9)/DAY(EOMONTH(BC$9,0)))*2*BC149-BB151))&lt;0,BB151+BC149,IF((SUMIFS(условия!$196:$196,условия!$8:$8,"&lt;="&amp;BC$9,условия!$9:$9,"&gt;="&amp;BC$9)/DAY(EOMONTH(BC$9,0)))*2*BC149-BB151&lt;0,0,(SUMIFS(условия!$196:$196,условия!$8:$8,"&lt;="&amp;BC$9,условия!$9:$9,"&gt;="&amp;BC$9)/DAY(EOMONTH(BC$9,0)))*2*BC149-BB151))))</f>
        <v>10.455025282639781</v>
      </c>
      <c r="BD151" s="33">
        <f>IF(BD$9="",0,IF(OR(BD$9="",DAY(EOMONTH(BD$9,0))=0),0,IF((BD149-((SUMIFS(условия!$196:$196,условия!$8:$8,"&lt;="&amp;BD$9,условия!$9:$9,"&gt;="&amp;BD$9)/DAY(EOMONTH(BD$9,0)))*2*BD149-BC151))&lt;0,BC151+BD149,IF((SUMIFS(условия!$196:$196,условия!$8:$8,"&lt;="&amp;BD$9,условия!$9:$9,"&gt;="&amp;BD$9)/DAY(EOMONTH(BD$9,0)))*2*BD149-BC151&lt;0,0,(SUMIFS(условия!$196:$196,условия!$8:$8,"&lt;="&amp;BD$9,условия!$9:$9,"&gt;="&amp;BD$9)/DAY(EOMONTH(BD$9,0)))*2*BD149-BC151))))</f>
        <v>2505.4136447927303</v>
      </c>
      <c r="BE151" s="33">
        <f>IF(BE$9="",0,IF(OR(BE$9="",DAY(EOMONTH(BE$9,0))=0),0,IF((BE149-((SUMIFS(условия!$196:$196,условия!$8:$8,"&lt;="&amp;BE$9,условия!$9:$9,"&gt;="&amp;BE$9)/DAY(EOMONTH(BE$9,0)))*2*BE149-BD151))&lt;0,BD151+BE149,IF((SUMIFS(условия!$196:$196,условия!$8:$8,"&lt;="&amp;BE$9,условия!$9:$9,"&gt;="&amp;BE$9)/DAY(EOMONTH(BE$9,0)))*2*BE149-BD151&lt;0,0,(SUMIFS(условия!$196:$196,условия!$8:$8,"&lt;="&amp;BE$9,условия!$9:$9,"&gt;="&amp;BE$9)/DAY(EOMONTH(BE$9,0)))*2*BE149-BD151))))</f>
        <v>1395.1625446004296</v>
      </c>
      <c r="BF151" s="33">
        <f>IF(BF$9="",0,IF(OR(BF$9="",DAY(EOMONTH(BF$9,0))=0),0,IF((BF149-((SUMIFS(условия!$196:$196,условия!$8:$8,"&lt;="&amp;BF$9,условия!$9:$9,"&gt;="&amp;BF$9)/DAY(EOMONTH(BF$9,0)))*2*BF149-BE151))&lt;0,BE151+BF149,IF((SUMIFS(условия!$196:$196,условия!$8:$8,"&lt;="&amp;BF$9,условия!$9:$9,"&gt;="&amp;BF$9)/DAY(EOMONTH(BF$9,0)))*2*BF149-BE151&lt;0,0,(SUMIFS(условия!$196:$196,условия!$8:$8,"&lt;="&amp;BF$9,условия!$9:$9,"&gt;="&amp;BF$9)/DAY(EOMONTH(BF$9,0)))*2*BF149-BE151))))</f>
        <v>3936.6578866520945</v>
      </c>
      <c r="BG151" s="33">
        <f>IF(BG$9="",0,IF(OR(BG$9="",DAY(EOMONTH(BG$9,0))=0),0,IF((BG149-((SUMIFS(условия!$196:$196,условия!$8:$8,"&lt;="&amp;BG$9,условия!$9:$9,"&gt;="&amp;BG$9)/DAY(EOMONTH(BG$9,0)))*2*BG149-BF151))&lt;0,BF151+BG149,IF((SUMIFS(условия!$196:$196,условия!$8:$8,"&lt;="&amp;BG$9,условия!$9:$9,"&gt;="&amp;BG$9)/DAY(EOMONTH(BG$9,0)))*2*BG149-BF151&lt;0,0,(SUMIFS(условия!$196:$196,условия!$8:$8,"&lt;="&amp;BG$9,условия!$9:$9,"&gt;="&amp;BG$9)/DAY(EOMONTH(BG$9,0)))*2*BG149-BF151))))</f>
        <v>22.278537006301121</v>
      </c>
      <c r="BH151" s="33">
        <f>IF(BH$9="",0,IF(OR(BH$9="",DAY(EOMONTH(BH$9,0))=0),0,IF((BH149-((SUMIFS(условия!$196:$196,условия!$8:$8,"&lt;="&amp;BH$9,условия!$9:$9,"&gt;="&amp;BH$9)/DAY(EOMONTH(BH$9,0)))*2*BH149-BG151))&lt;0,BG151+BH149,IF((SUMIFS(условия!$196:$196,условия!$8:$8,"&lt;="&amp;BH$9,условия!$9:$9,"&gt;="&amp;BH$9)/DAY(EOMONTH(BH$9,0)))*2*BH149-BG151&lt;0,0,(SUMIFS(условия!$196:$196,условия!$8:$8,"&lt;="&amp;BH$9,условия!$9:$9,"&gt;="&amp;BH$9)/DAY(EOMONTH(BH$9,0)))*2*BH149-BG151))))</f>
        <v>1390.0382006853458</v>
      </c>
      <c r="BI151" s="33">
        <f>IF(BI$9="",0,IF(OR(BI$9="",DAY(EOMONTH(BI$9,0))=0),0,IF((BI149-((SUMIFS(условия!$196:$196,условия!$8:$8,"&lt;="&amp;BI$9,условия!$9:$9,"&gt;="&amp;BI$9)/DAY(EOMONTH(BI$9,0)))*2*BI149-BH151))&lt;0,BH151+BI149,IF((SUMIFS(условия!$196:$196,условия!$8:$8,"&lt;="&amp;BI$9,условия!$9:$9,"&gt;="&amp;BI$9)/DAY(EOMONTH(BI$9,0)))*2*BI149-BH151&lt;0,0,(SUMIFS(условия!$196:$196,условия!$8:$8,"&lt;="&amp;BI$9,условия!$9:$9,"&gt;="&amp;BI$9)/DAY(EOMONTH(BI$9,0)))*2*BI149-BH151))))</f>
        <v>3327.0785218356077</v>
      </c>
      <c r="BJ151" s="33">
        <f>IF(BJ$9="",0,IF(OR(BJ$9="",DAY(EOMONTH(BJ$9,0))=0),0,IF((BJ149-((SUMIFS(условия!$196:$196,условия!$8:$8,"&lt;="&amp;BJ$9,условия!$9:$9,"&gt;="&amp;BJ$9)/DAY(EOMONTH(BJ$9,0)))*2*BJ149-BI151))&lt;0,BI151+BJ149,IF((SUMIFS(условия!$196:$196,условия!$8:$8,"&lt;="&amp;BJ$9,условия!$9:$9,"&gt;="&amp;BJ$9)/DAY(EOMONTH(BJ$9,0)))*2*BJ149-BI151&lt;0,0,(SUMIFS(условия!$196:$196,условия!$8:$8,"&lt;="&amp;BJ$9,условия!$9:$9,"&gt;="&amp;BJ$9)/DAY(EOMONTH(BJ$9,0)))*2*BJ149-BI151))))</f>
        <v>0</v>
      </c>
      <c r="BK151" s="33">
        <f>IF(BK$9="",0,IF(OR(BK$9="",DAY(EOMONTH(BK$9,0))=0),0,IF((BK149-((SUMIFS(условия!$196:$196,условия!$8:$8,"&lt;="&amp;BK$9,условия!$9:$9,"&gt;="&amp;BK$9)/DAY(EOMONTH(BK$9,0)))*2*BK149-BJ151))&lt;0,BJ151+BK149,IF((SUMIFS(условия!$196:$196,условия!$8:$8,"&lt;="&amp;BK$9,условия!$9:$9,"&gt;="&amp;BK$9)/DAY(EOMONTH(BK$9,0)))*2*BK149-BJ151&lt;0,0,(SUMIFS(условия!$196:$196,условия!$8:$8,"&lt;="&amp;BK$9,условия!$9:$9,"&gt;="&amp;BK$9)/DAY(EOMONTH(BK$9,0)))*2*BK149-BJ151))))</f>
        <v>2502.0153271962477</v>
      </c>
      <c r="BL151" s="33">
        <f>IF(BL$9="",0,IF(OR(BL$9="",DAY(EOMONTH(BL$9,0))=0),0,IF((BL149-((SUMIFS(условия!$196:$196,условия!$8:$8,"&lt;="&amp;BL$9,условия!$9:$9,"&gt;="&amp;BL$9)/DAY(EOMONTH(BL$9,0)))*2*BL149-BK151))&lt;0,BK151+BL149,IF((SUMIFS(условия!$196:$196,условия!$8:$8,"&lt;="&amp;BL$9,условия!$9:$9,"&gt;="&amp;BL$9)/DAY(EOMONTH(BL$9,0)))*2*BL149-BK151&lt;0,0,(SUMIFS(условия!$196:$196,условия!$8:$8,"&lt;="&amp;BL$9,условия!$9:$9,"&gt;="&amp;BL$9)/DAY(EOMONTH(BL$9,0)))*2*BL149-BK151))))</f>
        <v>5380.7498212014998</v>
      </c>
      <c r="BM151" s="33">
        <f>IF(BM$9="",0,IF(OR(BM$9="",DAY(EOMONTH(BM$9,0))=0),0,IF((BM149-((SUMIFS(условия!$196:$196,условия!$8:$8,"&lt;="&amp;BM$9,условия!$9:$9,"&gt;="&amp;BM$9)/DAY(EOMONTH(BM$9,0)))*2*BM149-BL151))&lt;0,BL151+BM149,IF((SUMIFS(условия!$196:$196,условия!$8:$8,"&lt;="&amp;BM$9,условия!$9:$9,"&gt;="&amp;BM$9)/DAY(EOMONTH(BM$9,0)))*2*BM149-BL151&lt;0,0,(SUMIFS(условия!$196:$196,условия!$8:$8,"&lt;="&amp;BM$9,условия!$9:$9,"&gt;="&amp;BM$9)/DAY(EOMONTH(BM$9,0)))*2*BM149-BL151))))</f>
        <v>1194.6827981410388</v>
      </c>
      <c r="BN151" s="33">
        <f>IF(BN$9="",0,IF(OR(BN$9="",DAY(EOMONTH(BN$9,0))=0),0,IF((BN149-((SUMIFS(условия!$196:$196,условия!$8:$8,"&lt;="&amp;BN$9,условия!$9:$9,"&gt;="&amp;BN$9)/DAY(EOMONTH(BN$9,0)))*2*BN149-BM151))&lt;0,BM151+BN149,IF((SUMIFS(условия!$196:$196,условия!$8:$8,"&lt;="&amp;BN$9,условия!$9:$9,"&gt;="&amp;BN$9)/DAY(EOMONTH(BN$9,0)))*2*BN149-BM151&lt;0,0,(SUMIFS(условия!$196:$196,условия!$8:$8,"&lt;="&amp;BN$9,условия!$9:$9,"&gt;="&amp;BN$9)/DAY(EOMONTH(BN$9,0)))*2*BN149-BM151))))</f>
        <v>5498.1086201708649</v>
      </c>
      <c r="BO151" s="33">
        <f>IF(BO$9="",0,IF(OR(BO$9="",DAY(EOMONTH(BO$9,0))=0),0,IF((BO149-((SUMIFS(условия!$196:$196,условия!$8:$8,"&lt;="&amp;BO$9,условия!$9:$9,"&gt;="&amp;BO$9)/DAY(EOMONTH(BO$9,0)))*2*BO149-BN151))&lt;0,BN151+BO149,IF((SUMIFS(условия!$196:$196,условия!$8:$8,"&lt;="&amp;BO$9,условия!$9:$9,"&gt;="&amp;BO$9)/DAY(EOMONTH(BO$9,0)))*2*BO149-BN151&lt;0,0,(SUMIFS(условия!$196:$196,условия!$8:$8,"&lt;="&amp;BO$9,условия!$9:$9,"&gt;="&amp;BO$9)/DAY(EOMONTH(BO$9,0)))*2*BO149-BN151))))</f>
        <v>0</v>
      </c>
      <c r="BP151" s="33">
        <f>IF(BP$9="",0,IF(OR(BP$9="",DAY(EOMONTH(BP$9,0))=0),0,IF((BP149-((SUMIFS(условия!$196:$196,условия!$8:$8,"&lt;="&amp;BP$9,условия!$9:$9,"&gt;="&amp;BP$9)/DAY(EOMONTH(BP$9,0)))*2*BP149-BO151))&lt;0,BO151+BP149,IF((SUMIFS(условия!$196:$196,условия!$8:$8,"&lt;="&amp;BP$9,условия!$9:$9,"&gt;="&amp;BP$9)/DAY(EOMONTH(BP$9,0)))*2*BP149-BO151&lt;0,0,(SUMIFS(условия!$196:$196,условия!$8:$8,"&lt;="&amp;BP$9,условия!$9:$9,"&gt;="&amp;BP$9)/DAY(EOMONTH(BP$9,0)))*2*BP149-BO151))))</f>
        <v>3184.8781092578415</v>
      </c>
      <c r="BQ151" s="33">
        <f>IF(BQ$9="",0,IF(OR(BQ$9="",DAY(EOMONTH(BQ$9,0))=0),0,IF((BQ149-((SUMIFS(условия!$196:$196,условия!$8:$8,"&lt;="&amp;BQ$9,условия!$9:$9,"&gt;="&amp;BQ$9)/DAY(EOMONTH(BQ$9,0)))*2*BQ149-BP151))&lt;0,BP151+BQ149,IF((SUMIFS(условия!$196:$196,условия!$8:$8,"&lt;="&amp;BQ$9,условия!$9:$9,"&gt;="&amp;BQ$9)/DAY(EOMONTH(BQ$9,0)))*2*BQ149-BP151&lt;0,0,(SUMIFS(условия!$196:$196,условия!$8:$8,"&lt;="&amp;BQ$9,условия!$9:$9,"&gt;="&amp;BQ$9)/DAY(EOMONTH(BQ$9,0)))*2*BQ149-BP151))))</f>
        <v>7057.6437567266876</v>
      </c>
      <c r="BR151" s="33">
        <f>IF(BR$9="",0,IF(OR(BR$9="",DAY(EOMONTH(BR$9,0))=0),0,IF((BR149-((SUMIFS(условия!$196:$196,условия!$8:$8,"&lt;="&amp;BR$9,условия!$9:$9,"&gt;="&amp;BR$9)/DAY(EOMONTH(BR$9,0)))*2*BR149-BQ151))&lt;0,BQ151+BR149,IF((SUMIFS(условия!$196:$196,условия!$8:$8,"&lt;="&amp;BR$9,условия!$9:$9,"&gt;="&amp;BR$9)/DAY(EOMONTH(BR$9,0)))*2*BR149-BQ151&lt;0,0,(SUMIFS(условия!$196:$196,условия!$8:$8,"&lt;="&amp;BR$9,условия!$9:$9,"&gt;="&amp;BR$9)/DAY(EOMONTH(BR$9,0)))*2*BR149-BQ151))))</f>
        <v>0</v>
      </c>
      <c r="BS151" s="33">
        <f>IF(BS$9="",0,IF(OR(BS$9="",DAY(EOMONTH(BS$9,0))=0),0,IF((BS149-((SUMIFS(условия!$196:$196,условия!$8:$8,"&lt;="&amp;BS$9,условия!$9:$9,"&gt;="&amp;BS$9)/DAY(EOMONTH(BS$9,0)))*2*BS149-BR151))&lt;0,BR151+BS149,IF((SUMIFS(условия!$196:$196,условия!$8:$8,"&lt;="&amp;BS$9,условия!$9:$9,"&gt;="&amp;BS$9)/DAY(EOMONTH(BS$9,0)))*2*BS149-BR151&lt;0,0,(SUMIFS(условия!$196:$196,условия!$8:$8,"&lt;="&amp;BS$9,условия!$9:$9,"&gt;="&amp;BS$9)/DAY(EOMONTH(BS$9,0)))*2*BS149-BR151))))</f>
        <v>4242.9583861078827</v>
      </c>
      <c r="BT151" s="33">
        <f>IF(BT$9="",0,IF(OR(BT$9="",DAY(EOMONTH(BT$9,0))=0),0,IF((BT149-((SUMIFS(условия!$196:$196,условия!$8:$8,"&lt;="&amp;BT$9,условия!$9:$9,"&gt;="&amp;BT$9)/DAY(EOMONTH(BT$9,0)))*2*BT149-BS151))&lt;0,BS151+BT149,IF((SUMIFS(условия!$196:$196,условия!$8:$8,"&lt;="&amp;BT$9,условия!$9:$9,"&gt;="&amp;BT$9)/DAY(EOMONTH(BT$9,0)))*2*BT149-BS151&lt;0,0,(SUMIFS(условия!$196:$196,условия!$8:$8,"&lt;="&amp;BT$9,условия!$9:$9,"&gt;="&amp;BT$9)/DAY(EOMONTH(BT$9,0)))*2*BT149-BS151))))</f>
        <v>0</v>
      </c>
      <c r="BU151" s="33">
        <f>IF(BU$9="",0,IF(OR(BU$9="",DAY(EOMONTH(BU$9,0))=0),0,IF((BU149-((SUMIFS(условия!$196:$196,условия!$8:$8,"&lt;="&amp;BU$9,условия!$9:$9,"&gt;="&amp;BU$9)/DAY(EOMONTH(BU$9,0)))*2*BU149-BT151))&lt;0,BT151+BU149,IF((SUMIFS(условия!$196:$196,условия!$8:$8,"&lt;="&amp;BU$9,условия!$9:$9,"&gt;="&amp;BU$9)/DAY(EOMONTH(BU$9,0)))*2*BU149-BT151&lt;0,0,(SUMIFS(условия!$196:$196,условия!$8:$8,"&lt;="&amp;BU$9,условия!$9:$9,"&gt;="&amp;BU$9)/DAY(EOMONTH(BU$9,0)))*2*BU149-BT151))))</f>
        <v>3996.4706820054193</v>
      </c>
      <c r="BV151" s="33">
        <f>IF(BV$9="",0,IF(OR(BV$9="",DAY(EOMONTH(BV$9,0))=0),0,IF((BV149-((SUMIFS(условия!$196:$196,условия!$8:$8,"&lt;="&amp;BV$9,условия!$9:$9,"&gt;="&amp;BV$9)/DAY(EOMONTH(BV$9,0)))*2*BV149-BU151))&lt;0,BU151+BV149,IF((SUMIFS(условия!$196:$196,условия!$8:$8,"&lt;="&amp;BV$9,условия!$9:$9,"&gt;="&amp;BV$9)/DAY(EOMONTH(BV$9,0)))*2*BV149-BU151&lt;0,0,(SUMIFS(условия!$196:$196,условия!$8:$8,"&lt;="&amp;BV$9,условия!$9:$9,"&gt;="&amp;BV$9)/DAY(EOMONTH(BV$9,0)))*2*BV149-BU151))))</f>
        <v>0</v>
      </c>
      <c r="BW151" s="33">
        <f>IF(BW$9="",0,IF(OR(BW$9="",DAY(EOMONTH(BW$9,0))=0),0,IF((BW149-((SUMIFS(условия!$196:$196,условия!$8:$8,"&lt;="&amp;BW$9,условия!$9:$9,"&gt;="&amp;BW$9)/DAY(EOMONTH(BW$9,0)))*2*BW149-BV151))&lt;0,BV151+BW149,IF((SUMIFS(условия!$196:$196,условия!$8:$8,"&lt;="&amp;BW$9,условия!$9:$9,"&gt;="&amp;BW$9)/DAY(EOMONTH(BW$9,0)))*2*BW149-BV151&lt;0,0,(SUMIFS(условия!$196:$196,условия!$8:$8,"&lt;="&amp;BW$9,условия!$9:$9,"&gt;="&amp;BW$9)/DAY(EOMONTH(BW$9,0)))*2*BW149-BV151))))</f>
        <v>5404.9212607270274</v>
      </c>
      <c r="BX151" s="33">
        <f>IF(BX$9="",0,IF(OR(BX$9="",DAY(EOMONTH(BX$9,0))=0),0,IF((BX149-((SUMIFS(условия!$196:$196,условия!$8:$8,"&lt;="&amp;BX$9,условия!$9:$9,"&gt;="&amp;BX$9)/DAY(EOMONTH(BX$9,0)))*2*BX149-BW151))&lt;0,BW151+BX149,IF((SUMIFS(условия!$196:$196,условия!$8:$8,"&lt;="&amp;BX$9,условия!$9:$9,"&gt;="&amp;BX$9)/DAY(EOMONTH(BX$9,0)))*2*BX149-BW151&lt;0,0,(SUMIFS(условия!$196:$196,условия!$8:$8,"&lt;="&amp;BX$9,условия!$9:$9,"&gt;="&amp;BX$9)/DAY(EOMONTH(BX$9,0)))*2*BX149-BW151))))</f>
        <v>2760.7608116541405</v>
      </c>
      <c r="BY151" s="33">
        <f>IF(BY$9="",0,IF(OR(BY$9="",DAY(EOMONTH(BY$9,0))=0),0,IF((BY149-((SUMIFS(условия!$196:$196,условия!$8:$8,"&lt;="&amp;BY$9,условия!$9:$9,"&gt;="&amp;BY$9)/DAY(EOMONTH(BY$9,0)))*2*BY149-BX151))&lt;0,BX151+BY149,IF((SUMIFS(условия!$196:$196,условия!$8:$8,"&lt;="&amp;BY$9,условия!$9:$9,"&gt;="&amp;BY$9)/DAY(EOMONTH(BY$9,0)))*2*BY149-BX151&lt;0,0,(SUMIFS(условия!$196:$196,условия!$8:$8,"&lt;="&amp;BY$9,условия!$9:$9,"&gt;="&amp;BY$9)/DAY(EOMONTH(BY$9,0)))*2*BY149-BX151))))</f>
        <v>10450.851823813904</v>
      </c>
      <c r="BZ151" s="33">
        <f>IF(BZ$9="",0,IF(OR(BZ$9="",DAY(EOMONTH(BZ$9,0))=0),0,IF((BZ149-((SUMIFS(условия!$196:$196,условия!$8:$8,"&lt;="&amp;BZ$9,условия!$9:$9,"&gt;="&amp;BZ$9)/DAY(EOMONTH(BZ$9,0)))*2*BZ149-BY151))&lt;0,BY151+BZ149,IF((SUMIFS(условия!$196:$196,условия!$8:$8,"&lt;="&amp;BZ$9,условия!$9:$9,"&gt;="&amp;BZ$9)/DAY(EOMONTH(BZ$9,0)))*2*BZ149-BY151&lt;0,0,(SUMIFS(условия!$196:$196,условия!$8:$8,"&lt;="&amp;BZ$9,условия!$9:$9,"&gt;="&amp;BZ$9)/DAY(EOMONTH(BZ$9,0)))*2*BZ149-BY151))))</f>
        <v>3948.9004509790157</v>
      </c>
      <c r="CA151" s="33">
        <f>IF(CA$9="",0,IF(OR(CA$9="",DAY(EOMONTH(CA$9,0))=0),0,IF((CA149-((SUMIFS(условия!$196:$196,условия!$8:$8,"&lt;="&amp;CA$9,условия!$9:$9,"&gt;="&amp;CA$9)/DAY(EOMONTH(CA$9,0)))*2*CA149-BZ151))&lt;0,BZ151+CA149,IF((SUMIFS(условия!$196:$196,условия!$8:$8,"&lt;="&amp;CA$9,условия!$9:$9,"&gt;="&amp;CA$9)/DAY(EOMONTH(CA$9,0)))*2*CA149-BZ151&lt;0,0,(SUMIFS(условия!$196:$196,условия!$8:$8,"&lt;="&amp;CA$9,условия!$9:$9,"&gt;="&amp;CA$9)/DAY(EOMONTH(CA$9,0)))*2*CA149-BZ151))))</f>
        <v>8700.9607345945369</v>
      </c>
      <c r="CB151" s="33">
        <f>IF(CB$9="",0,IF(OR(CB$9="",DAY(EOMONTH(CB$9,0))=0),0,IF((CB149-((SUMIFS(условия!$196:$196,условия!$8:$8,"&lt;="&amp;CB$9,условия!$9:$9,"&gt;="&amp;CB$9)/DAY(EOMONTH(CB$9,0)))*2*CB149-CA151))&lt;0,CA151+CB149,IF((SUMIFS(условия!$196:$196,условия!$8:$8,"&lt;="&amp;CB$9,условия!$9:$9,"&gt;="&amp;CB$9)/DAY(EOMONTH(CB$9,0)))*2*CB149-CA151&lt;0,0,(SUMIFS(условия!$196:$196,условия!$8:$8,"&lt;="&amp;CB$9,условия!$9:$9,"&gt;="&amp;CB$9)/DAY(EOMONTH(CB$9,0)))*2*CB149-CA151))))</f>
        <v>0</v>
      </c>
      <c r="CC151" s="33">
        <f>IF(CC$9="",0,IF(OR(CC$9="",DAY(EOMONTH(CC$9,0))=0),0,IF((CC149-((SUMIFS(условия!$196:$196,условия!$8:$8,"&lt;="&amp;CC$9,условия!$9:$9,"&gt;="&amp;CC$9)/DAY(EOMONTH(CC$9,0)))*2*CC149-CB151))&lt;0,CB151+CC149,IF((SUMIFS(условия!$196:$196,условия!$8:$8,"&lt;="&amp;CC$9,условия!$9:$9,"&gt;="&amp;CC$9)/DAY(EOMONTH(CC$9,0)))*2*CC149-CB151&lt;0,0,(SUMIFS(условия!$196:$196,условия!$8:$8,"&lt;="&amp;CC$9,условия!$9:$9,"&gt;="&amp;CC$9)/DAY(EOMONTH(CC$9,0)))*2*CC149-CB151))))</f>
        <v>7811.1219222031159</v>
      </c>
      <c r="CD151" s="33">
        <f>IF(CD$9="",0,IF(OR(CD$9="",DAY(EOMONTH(CD$9,0))=0),0,IF((CD149-((SUMIFS(условия!$196:$196,условия!$8:$8,"&lt;="&amp;CD$9,условия!$9:$9,"&gt;="&amp;CD$9)/DAY(EOMONTH(CD$9,0)))*2*CD149-CC151))&lt;0,CC151+CD149,IF((SUMIFS(условия!$196:$196,условия!$8:$8,"&lt;="&amp;CD$9,условия!$9:$9,"&gt;="&amp;CD$9)/DAY(EOMONTH(CD$9,0)))*2*CD149-CC151&lt;0,0,(SUMIFS(условия!$196:$196,условия!$8:$8,"&lt;="&amp;CD$9,условия!$9:$9,"&gt;="&amp;CD$9)/DAY(EOMONTH(CD$9,0)))*2*CD149-CC151))))</f>
        <v>0</v>
      </c>
      <c r="CE151" s="33">
        <f>IF(CE$9="",0,IF(OR(CE$9="",DAY(EOMONTH(CE$9,0))=0),0,IF((CE149-((SUMIFS(условия!$196:$196,условия!$8:$8,"&lt;="&amp;CE$9,условия!$9:$9,"&gt;="&amp;CE$9)/DAY(EOMONTH(CE$9,0)))*2*CE149-CD151))&lt;0,CD151+CE149,IF((SUMIFS(условия!$196:$196,условия!$8:$8,"&lt;="&amp;CE$9,условия!$9:$9,"&gt;="&amp;CE$9)/DAY(EOMONTH(CE$9,0)))*2*CE149-CD151&lt;0,0,(SUMIFS(условия!$196:$196,условия!$8:$8,"&lt;="&amp;CE$9,условия!$9:$9,"&gt;="&amp;CE$9)/DAY(EOMONTH(CE$9,0)))*2*CE149-CD151))))</f>
        <v>8333.204723670342</v>
      </c>
      <c r="CF151" s="33">
        <f>IF(CF$9="",0,IF(OR(CF$9="",DAY(EOMONTH(CF$9,0))=0),0,IF((CF149-((SUMIFS(условия!$196:$196,условия!$8:$8,"&lt;="&amp;CF$9,условия!$9:$9,"&gt;="&amp;CF$9)/DAY(EOMONTH(CF$9,0)))*2*CF149-CE151))&lt;0,CE151+CF149,IF((SUMIFS(условия!$196:$196,условия!$8:$8,"&lt;="&amp;CF$9,условия!$9:$9,"&gt;="&amp;CF$9)/DAY(EOMONTH(CF$9,0)))*2*CF149-CE151&lt;0,0,(SUMIFS(условия!$196:$196,условия!$8:$8,"&lt;="&amp;CF$9,условия!$9:$9,"&gt;="&amp;CF$9)/DAY(EOMONTH(CF$9,0)))*2*CF149-CE151))))</f>
        <v>0</v>
      </c>
      <c r="CG151" s="33">
        <f>IF(CG$9="",0,IF(OR(CG$9="",DAY(EOMONTH(CG$9,0))=0),0,IF((CG149-((SUMIFS(условия!$196:$196,условия!$8:$8,"&lt;="&amp;CG$9,условия!$9:$9,"&gt;="&amp;CG$9)/DAY(EOMONTH(CG$9,0)))*2*CG149-CF151))&lt;0,CF151+CG149,IF((SUMIFS(условия!$196:$196,условия!$8:$8,"&lt;="&amp;CG$9,условия!$9:$9,"&gt;="&amp;CG$9)/DAY(EOMONTH(CG$9,0)))*2*CG149-CF151&lt;0,0,(SUMIFS(условия!$196:$196,условия!$8:$8,"&lt;="&amp;CG$9,условия!$9:$9,"&gt;="&amp;CG$9)/DAY(EOMONTH(CG$9,0)))*2*CG149-CF151))))</f>
        <v>4448.8275463144491</v>
      </c>
      <c r="CH151" s="33">
        <f>IF(CH$9="",0,IF(OR(CH$9="",DAY(EOMONTH(CH$9,0))=0),0,IF((CH149-((SUMIFS(условия!$196:$196,условия!$8:$8,"&lt;="&amp;CH$9,условия!$9:$9,"&gt;="&amp;CH$9)/DAY(EOMONTH(CH$9,0)))*2*CH149-CG151))&lt;0,CG151+CH149,IF((SUMIFS(условия!$196:$196,условия!$8:$8,"&lt;="&amp;CH$9,условия!$9:$9,"&gt;="&amp;CH$9)/DAY(EOMONTH(CH$9,0)))*2*CH149-CG151&lt;0,0,(SUMIFS(условия!$196:$196,условия!$8:$8,"&lt;="&amp;CH$9,условия!$9:$9,"&gt;="&amp;CH$9)/DAY(EOMONTH(CH$9,0)))*2*CH149-CG151))))</f>
        <v>2238.4311021982548</v>
      </c>
      <c r="CI151" s="33">
        <f>IF(CI$9="",0,IF(OR(CI$9="",DAY(EOMONTH(CI$9,0))=0),0,IF((CI149-((SUMIFS(условия!$196:$196,условия!$8:$8,"&lt;="&amp;CI$9,условия!$9:$9,"&gt;="&amp;CI$9)/DAY(EOMONTH(CI$9,0)))*2*CI149-CH151))&lt;0,CH151+CI149,IF((SUMIFS(условия!$196:$196,условия!$8:$8,"&lt;="&amp;CI$9,условия!$9:$9,"&gt;="&amp;CI$9)/DAY(EOMONTH(CI$9,0)))*2*CI149-CH151&lt;0,0,(SUMIFS(условия!$196:$196,условия!$8:$8,"&lt;="&amp;CI$9,условия!$9:$9,"&gt;="&amp;CI$9)/DAY(EOMONTH(CI$9,0)))*2*CI149-CH151))))</f>
        <v>8085.1787927933556</v>
      </c>
      <c r="CJ151" s="33">
        <f>IF(CJ$9="",0,IF(OR(CJ$9="",DAY(EOMONTH(CJ$9,0))=0),0,IF((CJ149-((SUMIFS(условия!$196:$196,условия!$8:$8,"&lt;="&amp;CJ$9,условия!$9:$9,"&gt;="&amp;CJ$9)/DAY(EOMONTH(CJ$9,0)))*2*CJ149-CI151))&lt;0,CI151+CJ149,IF((SUMIFS(условия!$196:$196,условия!$8:$8,"&lt;="&amp;CJ$9,условия!$9:$9,"&gt;="&amp;CJ$9)/DAY(EOMONTH(CJ$9,0)))*2*CJ149-CI151&lt;0,0,(SUMIFS(условия!$196:$196,условия!$8:$8,"&lt;="&amp;CJ$9,условия!$9:$9,"&gt;="&amp;CJ$9)/DAY(EOMONTH(CJ$9,0)))*2*CJ149-CI151))))</f>
        <v>6286.8213775512477</v>
      </c>
      <c r="CK151" s="33">
        <f>IF(CK$9="",0,IF(OR(CK$9="",DAY(EOMONTH(CK$9,0))=0),0,IF((CK149-((SUMIFS(условия!$196:$196,условия!$8:$8,"&lt;="&amp;CK$9,условия!$9:$9,"&gt;="&amp;CK$9)/DAY(EOMONTH(CK$9,0)))*2*CK149-CJ151))&lt;0,CJ151+CK149,IF((SUMIFS(условия!$196:$196,условия!$8:$8,"&lt;="&amp;CK$9,условия!$9:$9,"&gt;="&amp;CK$9)/DAY(EOMONTH(CK$9,0)))*2*CK149-CJ151&lt;0,0,(SUMIFS(условия!$196:$196,условия!$8:$8,"&lt;="&amp;CK$9,условия!$9:$9,"&gt;="&amp;CK$9)/DAY(EOMONTH(CK$9,0)))*2*CK149-CJ151))))</f>
        <v>14691.142167430491</v>
      </c>
      <c r="CL151" s="33">
        <f>IF(CL$9="",0,IF(OR(CL$9="",DAY(EOMONTH(CL$9,0))=0),0,IF((CL149-((SUMIFS(условия!$196:$196,условия!$8:$8,"&lt;="&amp;CL$9,условия!$9:$9,"&gt;="&amp;CL$9)/DAY(EOMONTH(CL$9,0)))*2*CL149-CK151))&lt;0,CK151+CL149,IF((SUMIFS(условия!$196:$196,условия!$8:$8,"&lt;="&amp;CL$9,условия!$9:$9,"&gt;="&amp;CL$9)/DAY(EOMONTH(CL$9,0)))*2*CL149-CK151&lt;0,0,(SUMIFS(условия!$196:$196,условия!$8:$8,"&lt;="&amp;CL$9,условия!$9:$9,"&gt;="&amp;CL$9)/DAY(EOMONTH(CL$9,0)))*2*CL149-CK151))))</f>
        <v>7258.5717382462208</v>
      </c>
      <c r="CM151" s="33">
        <f>IF(CM$9="",0,IF(OR(CM$9="",DAY(EOMONTH(CM$9,0))=0),0,IF((CM149-((SUMIFS(условия!$196:$196,условия!$8:$8,"&lt;="&amp;CM$9,условия!$9:$9,"&gt;="&amp;CM$9)/DAY(EOMONTH(CM$9,0)))*2*CM149-CL151))&lt;0,CL151+CM149,IF((SUMIFS(условия!$196:$196,условия!$8:$8,"&lt;="&amp;CM$9,условия!$9:$9,"&gt;="&amp;CM$9)/DAY(EOMONTH(CM$9,0)))*2*CM149-CL151&lt;0,0,(SUMIFS(условия!$196:$196,условия!$8:$8,"&lt;="&amp;CM$9,условия!$9:$9,"&gt;="&amp;CM$9)/DAY(EOMONTH(CM$9,0)))*2*CM149-CL151))))</f>
        <v>957.97949397456796</v>
      </c>
      <c r="CN151" s="33">
        <f>IF(CN$9="",0,IF(OR(CN$9="",DAY(EOMONTH(CN$9,0))=0),0,IF((CN149-((SUMIFS(условия!$196:$196,условия!$8:$8,"&lt;="&amp;CN$9,условия!$9:$9,"&gt;="&amp;CN$9)/DAY(EOMONTH(CN$9,0)))*2*CN149-CM151))&lt;0,CM151+CN149,IF((SUMIFS(условия!$196:$196,условия!$8:$8,"&lt;="&amp;CN$9,условия!$9:$9,"&gt;="&amp;CN$9)/DAY(EOMONTH(CN$9,0)))*2*CN149-CM151&lt;0,0,(SUMIFS(условия!$196:$196,условия!$8:$8,"&lt;="&amp;CN$9,условия!$9:$9,"&gt;="&amp;CN$9)/DAY(EOMONTH(CN$9,0)))*2*CN149-CM151))))</f>
        <v>5770.5294092937047</v>
      </c>
      <c r="CO151" s="33">
        <f>IF(CO$9="",0,IF(OR(CO$9="",DAY(EOMONTH(CO$9,0))=0),0,IF((CO149-((SUMIFS(условия!$196:$196,условия!$8:$8,"&lt;="&amp;CO$9,условия!$9:$9,"&gt;="&amp;CO$9)/DAY(EOMONTH(CO$9,0)))*2*CO149-CN151))&lt;0,CN151+CO149,IF((SUMIFS(условия!$196:$196,условия!$8:$8,"&lt;="&amp;CO$9,условия!$9:$9,"&gt;="&amp;CO$9)/DAY(EOMONTH(CO$9,0)))*2*CO149-CN151&lt;0,0,(SUMIFS(условия!$196:$196,условия!$8:$8,"&lt;="&amp;CO$9,условия!$9:$9,"&gt;="&amp;CO$9)/DAY(EOMONTH(CO$9,0)))*2*CO149-CN151))))</f>
        <v>14194.923684876489</v>
      </c>
      <c r="CP151" s="33">
        <f>IF(CP$9="",0,IF(OR(CP$9="",DAY(EOMONTH(CP$9,0))=0),0,IF((CP149-((SUMIFS(условия!$196:$196,условия!$8:$8,"&lt;="&amp;CP$9,условия!$9:$9,"&gt;="&amp;CP$9)/DAY(EOMONTH(CP$9,0)))*2*CP149-CO151))&lt;0,CO151+CP149,IF((SUMIFS(условия!$196:$196,условия!$8:$8,"&lt;="&amp;CP$9,условия!$9:$9,"&gt;="&amp;CP$9)/DAY(EOMONTH(CP$9,0)))*2*CP149-CO151&lt;0,0,(SUMIFS(условия!$196:$196,условия!$8:$8,"&lt;="&amp;CP$9,условия!$9:$9,"&gt;="&amp;CP$9)/DAY(EOMONTH(CP$9,0)))*2*CP149-CO151))))</f>
        <v>0</v>
      </c>
      <c r="CQ151" s="33">
        <f>IF(CQ$9="",0,IF(OR(CQ$9="",DAY(EOMONTH(CQ$9,0))=0),0,IF((CQ149-((SUMIFS(условия!$196:$196,условия!$8:$8,"&lt;="&amp;CQ$9,условия!$9:$9,"&gt;="&amp;CQ$9)/DAY(EOMONTH(CQ$9,0)))*2*CQ149-CP151))&lt;0,CP151+CQ149,IF((SUMIFS(условия!$196:$196,условия!$8:$8,"&lt;="&amp;CQ$9,условия!$9:$9,"&gt;="&amp;CQ$9)/DAY(EOMONTH(CQ$9,0)))*2*CQ149-CP151&lt;0,0,(SUMIFS(условия!$196:$196,условия!$8:$8,"&lt;="&amp;CQ$9,условия!$9:$9,"&gt;="&amp;CQ$9)/DAY(EOMONTH(CQ$9,0)))*2*CQ149-CP151))))</f>
        <v>9106.8559389352122</v>
      </c>
      <c r="CR151" s="33">
        <f>IF(CR$9="",0,IF(OR(CR$9="",DAY(EOMONTH(CR$9,0))=0),0,IF((CR149-((SUMIFS(условия!$196:$196,условия!$8:$8,"&lt;="&amp;CR$9,условия!$9:$9,"&gt;="&amp;CR$9)/DAY(EOMONTH(CR$9,0)))*2*CR149-CQ151))&lt;0,CQ151+CR149,IF((SUMIFS(условия!$196:$196,условия!$8:$8,"&lt;="&amp;CR$9,условия!$9:$9,"&gt;="&amp;CR$9)/DAY(EOMONTH(CR$9,0)))*2*CR149-CQ151&lt;0,0,(SUMIFS(условия!$196:$196,условия!$8:$8,"&lt;="&amp;CR$9,условия!$9:$9,"&gt;="&amp;CR$9)/DAY(EOMONTH(CR$9,0)))*2*CR149-CQ151))))</f>
        <v>0</v>
      </c>
      <c r="CS151" s="33">
        <f>IF(CS$9="",0,IF(OR(CS$9="",DAY(EOMONTH(CS$9,0))=0),0,IF((CS149-((SUMIFS(условия!$196:$196,условия!$8:$8,"&lt;="&amp;CS$9,условия!$9:$9,"&gt;="&amp;CS$9)/DAY(EOMONTH(CS$9,0)))*2*CS149-CR151))&lt;0,CR151+CS149,IF((SUMIFS(условия!$196:$196,условия!$8:$8,"&lt;="&amp;CS$9,условия!$9:$9,"&gt;="&amp;CS$9)/DAY(EOMONTH(CS$9,0)))*2*CS149-CR151&lt;0,0,(SUMIFS(условия!$196:$196,условия!$8:$8,"&lt;="&amp;CS$9,условия!$9:$9,"&gt;="&amp;CS$9)/DAY(EOMONTH(CS$9,0)))*2*CS149-CR151))))</f>
        <v>6817.6327184875645</v>
      </c>
      <c r="CT151" s="33">
        <f>IF(CT$9="",0,IF(OR(CT$9="",DAY(EOMONTH(CT$9,0))=0),0,IF((CT149-((SUMIFS(условия!$196:$196,условия!$8:$8,"&lt;="&amp;CT$9,условия!$9:$9,"&gt;="&amp;CT$9)/DAY(EOMONTH(CT$9,0)))*2*CT149-CS151))&lt;0,CS151+CT149,IF((SUMIFS(условия!$196:$196,условия!$8:$8,"&lt;="&amp;CT$9,условия!$9:$9,"&gt;="&amp;CT$9)/DAY(EOMONTH(CT$9,0)))*2*CT149-CS151&lt;0,0,(SUMIFS(условия!$196:$196,условия!$8:$8,"&lt;="&amp;CT$9,условия!$9:$9,"&gt;="&amp;CT$9)/DAY(EOMONTH(CT$9,0)))*2*CT149-CS151))))</f>
        <v>0</v>
      </c>
      <c r="CU151" s="33">
        <f>IF(CU$9="",0,IF(OR(CU$9="",DAY(EOMONTH(CU$9,0))=0),0,IF((CU149-((SUMIFS(условия!$196:$196,условия!$8:$8,"&lt;="&amp;CU$9,условия!$9:$9,"&gt;="&amp;CU$9)/DAY(EOMONTH(CU$9,0)))*2*CU149-CT151))&lt;0,CT151+CU149,IF((SUMIFS(условия!$196:$196,условия!$8:$8,"&lt;="&amp;CU$9,условия!$9:$9,"&gt;="&amp;CU$9)/DAY(EOMONTH(CU$9,0)))*2*CU149-CT151&lt;0,0,(SUMIFS(условия!$196:$196,условия!$8:$8,"&lt;="&amp;CU$9,условия!$9:$9,"&gt;="&amp;CU$9)/DAY(EOMONTH(CU$9,0)))*2*CU149-CT151))))</f>
        <v>8683.8485861758618</v>
      </c>
      <c r="CV151" s="33">
        <f>IF(CV$9="",0,IF(OR(CV$9="",DAY(EOMONTH(CV$9,0))=0),0,IF((CV149-((SUMIFS(условия!$196:$196,условия!$8:$8,"&lt;="&amp;CV$9,условия!$9:$9,"&gt;="&amp;CV$9)/DAY(EOMONTH(CV$9,0)))*2*CV149-CU151))&lt;0,CU151+CV149,IF((SUMIFS(условия!$196:$196,условия!$8:$8,"&lt;="&amp;CV$9,условия!$9:$9,"&gt;="&amp;CV$9)/DAY(EOMONTH(CV$9,0)))*2*CV149-CU151&lt;0,0,(SUMIFS(условия!$196:$196,условия!$8:$8,"&lt;="&amp;CV$9,условия!$9:$9,"&gt;="&amp;CV$9)/DAY(EOMONTH(CV$9,0)))*2*CV149-CU151))))</f>
        <v>6421.0886488925225</v>
      </c>
      <c r="CW151" s="33">
        <f>IF(CW$9="",0,IF(OR(CW$9="",DAY(EOMONTH(CW$9,0))=0),0,IF((CW149-((SUMIFS(условия!$196:$196,условия!$8:$8,"&lt;="&amp;CW$9,условия!$9:$9,"&gt;="&amp;CW$9)/DAY(EOMONTH(CW$9,0)))*2*CW149-CV151))&lt;0,CV151+CW149,IF((SUMIFS(условия!$196:$196,условия!$8:$8,"&lt;="&amp;CW$9,условия!$9:$9,"&gt;="&amp;CW$9)/DAY(EOMONTH(CW$9,0)))*2*CW149-CV151&lt;0,0,(SUMIFS(условия!$196:$196,условия!$8:$8,"&lt;="&amp;CW$9,условия!$9:$9,"&gt;="&amp;CW$9)/DAY(EOMONTH(CW$9,0)))*2*CW149-CV151))))</f>
        <v>18512.229803480688</v>
      </c>
      <c r="CX151" s="33">
        <f>IF(CX$9="",0,IF(OR(CX$9="",DAY(EOMONTH(CX$9,0))=0),0,IF((CX149-((SUMIFS(условия!$196:$196,условия!$8:$8,"&lt;="&amp;CX$9,условия!$9:$9,"&gt;="&amp;CX$9)/DAY(EOMONTH(CX$9,0)))*2*CX149-CW151))&lt;0,CW151+CX149,IF((SUMIFS(условия!$196:$196,условия!$8:$8,"&lt;="&amp;CX$9,условия!$9:$9,"&gt;="&amp;CX$9)/DAY(EOMONTH(CX$9,0)))*2*CX149-CW151&lt;0,0,(SUMIFS(условия!$196:$196,условия!$8:$8,"&lt;="&amp;CX$9,условия!$9:$9,"&gt;="&amp;CX$9)/DAY(EOMONTH(CX$9,0)))*2*CX149-CW151))))</f>
        <v>6494.4737181883866</v>
      </c>
      <c r="CY151" s="33">
        <f>IF(CY$9="",0,IF(OR(CY$9="",DAY(EOMONTH(CY$9,0))=0),0,IF((CY149-((SUMIFS(условия!$196:$196,условия!$8:$8,"&lt;="&amp;CY$9,условия!$9:$9,"&gt;="&amp;CY$9)/DAY(EOMONTH(CY$9,0)))*2*CY149-CX151))&lt;0,CX151+CY149,IF((SUMIFS(условия!$196:$196,условия!$8:$8,"&lt;="&amp;CY$9,условия!$9:$9,"&gt;="&amp;CY$9)/DAY(EOMONTH(CY$9,0)))*2*CY149-CX151&lt;0,0,(SUMIFS(условия!$196:$196,условия!$8:$8,"&lt;="&amp;CY$9,условия!$9:$9,"&gt;="&amp;CY$9)/DAY(EOMONTH(CY$9,0)))*2*CY149-CX151))))</f>
        <v>6283.6329452115533</v>
      </c>
      <c r="CZ151" s="33">
        <f>IF(CZ$9="",0,IF(OR(CZ$9="",DAY(EOMONTH(CZ$9,0))=0),0,IF((CZ149-((SUMIFS(условия!$196:$196,условия!$8:$8,"&lt;="&amp;CZ$9,условия!$9:$9,"&gt;="&amp;CZ$9)/DAY(EOMONTH(CZ$9,0)))*2*CZ149-CY151))&lt;0,CY151+CZ149,IF((SUMIFS(условия!$196:$196,условия!$8:$8,"&lt;="&amp;CZ$9,условия!$9:$9,"&gt;="&amp;CZ$9)/DAY(EOMONTH(CZ$9,0)))*2*CZ149-CY151&lt;0,0,(SUMIFS(условия!$196:$196,условия!$8:$8,"&lt;="&amp;CZ$9,условия!$9:$9,"&gt;="&amp;CZ$9)/DAY(EOMONTH(CZ$9,0)))*2*CZ149-CY151))))</f>
        <v>0</v>
      </c>
      <c r="DA151" s="33">
        <f>IF(DA$9="",0,IF(OR(DA$9="",DAY(EOMONTH(DA$9,0))=0),0,IF((DA149-((SUMIFS(условия!$196:$196,условия!$8:$8,"&lt;="&amp;DA$9,условия!$9:$9,"&gt;="&amp;DA$9)/DAY(EOMONTH(DA$9,0)))*2*DA149-CZ151))&lt;0,CZ151+DA149,IF((SUMIFS(условия!$196:$196,условия!$8:$8,"&lt;="&amp;DA$9,условия!$9:$9,"&gt;="&amp;DA$9)/DAY(EOMONTH(DA$9,0)))*2*DA149-CZ151&lt;0,0,(SUMIFS(условия!$196:$196,условия!$8:$8,"&lt;="&amp;DA$9,условия!$9:$9,"&gt;="&amp;DA$9)/DAY(EOMONTH(DA$9,0)))*2*DA149-CZ151))))</f>
        <v>12679.826503443695</v>
      </c>
      <c r="DB151" s="33">
        <f>IF(DB$9="",0,IF(OR(DB$9="",DAY(EOMONTH(DB$9,0))=0),0,IF((DB149-((SUMIFS(условия!$196:$196,условия!$8:$8,"&lt;="&amp;DB$9,условия!$9:$9,"&gt;="&amp;DB$9)/DAY(EOMONTH(DB$9,0)))*2*DB149-DA151))&lt;0,DA151+DB149,IF((SUMIFS(условия!$196:$196,условия!$8:$8,"&lt;="&amp;DB$9,условия!$9:$9,"&gt;="&amp;DB$9)/DAY(EOMONTH(DB$9,0)))*2*DB149-DA151&lt;0,0,(SUMIFS(условия!$196:$196,условия!$8:$8,"&lt;="&amp;DB$9,условия!$9:$9,"&gt;="&amp;DB$9)/DAY(EOMONTH(DB$9,0)))*2*DB149-DA151))))</f>
        <v>0</v>
      </c>
      <c r="DC151" s="33">
        <f>IF(DC$9="",0,IF(OR(DC$9="",DAY(EOMONTH(DC$9,0))=0),0,IF((DC149-((SUMIFS(условия!$196:$196,условия!$8:$8,"&lt;="&amp;DC$9,условия!$9:$9,"&gt;="&amp;DC$9)/DAY(EOMONTH(DC$9,0)))*2*DC149-DB151))&lt;0,DB151+DC149,IF((SUMIFS(условия!$196:$196,условия!$8:$8,"&lt;="&amp;DC$9,условия!$9:$9,"&gt;="&amp;DC$9)/DAY(EOMONTH(DC$9,0)))*2*DC149-DB151&lt;0,0,(SUMIFS(условия!$196:$196,условия!$8:$8,"&lt;="&amp;DC$9,условия!$9:$9,"&gt;="&amp;DC$9)/DAY(EOMONTH(DC$9,0)))*2*DC149-DB151))))</f>
        <v>13224.864811754898</v>
      </c>
      <c r="DD151" s="33">
        <f>IF(DD$9="",0,IF(OR(DD$9="",DAY(EOMONTH(DD$9,0))=0),0,IF((DD149-((SUMIFS(условия!$196:$196,условия!$8:$8,"&lt;="&amp;DD$9,условия!$9:$9,"&gt;="&amp;DD$9)/DAY(EOMONTH(DD$9,0)))*2*DD149-DC151))&lt;0,DC151+DD149,IF((SUMIFS(условия!$196:$196,условия!$8:$8,"&lt;="&amp;DD$9,условия!$9:$9,"&gt;="&amp;DD$9)/DAY(EOMONTH(DD$9,0)))*2*DD149-DC151&lt;0,0,(SUMIFS(условия!$196:$196,условия!$8:$8,"&lt;="&amp;DD$9,условия!$9:$9,"&gt;="&amp;DD$9)/DAY(EOMONTH(DD$9,0)))*2*DD149-DC151))))</f>
        <v>0</v>
      </c>
      <c r="DE151" s="33">
        <f>IF(DE$9="",0,IF(OR(DE$9="",DAY(EOMONTH(DE$9,0))=0),0,IF((DE149-((SUMIFS(условия!$196:$196,условия!$8:$8,"&lt;="&amp;DE$9,условия!$9:$9,"&gt;="&amp;DE$9)/DAY(EOMONTH(DE$9,0)))*2*DE149-DD151))&lt;0,DD151+DE149,IF((SUMIFS(условия!$196:$196,условия!$8:$8,"&lt;="&amp;DE$9,условия!$9:$9,"&gt;="&amp;DE$9)/DAY(EOMONTH(DE$9,0)))*2*DE149-DD151&lt;0,0,(SUMIFS(условия!$196:$196,условия!$8:$8,"&lt;="&amp;DE$9,условия!$9:$9,"&gt;="&amp;DE$9)/DAY(EOMONTH(DE$9,0)))*2*DE149-DD151))))</f>
        <v>5779.0932313478625</v>
      </c>
      <c r="DF151" s="33">
        <f>IF(DF$9="",0,IF(OR(DF$9="",DAY(EOMONTH(DF$9,0))=0),0,IF((DF149-((SUMIFS(условия!$196:$196,условия!$8:$8,"&lt;="&amp;DF$9,условия!$9:$9,"&gt;="&amp;DF$9)/DAY(EOMONTH(DF$9,0)))*2*DF149-DE151))&lt;0,DE151+DF149,IF((SUMIFS(условия!$196:$196,условия!$8:$8,"&lt;="&amp;DF$9,условия!$9:$9,"&gt;="&amp;DF$9)/DAY(EOMONTH(DF$9,0)))*2*DF149-DE151&lt;0,0,(SUMIFS(условия!$196:$196,условия!$8:$8,"&lt;="&amp;DF$9,условия!$9:$9,"&gt;="&amp;DF$9)/DAY(EOMONTH(DF$9,0)))*2*DF149-DE151))))</f>
        <v>3566.5062468051765</v>
      </c>
      <c r="DG151" s="33">
        <f>IF(DG$9="",0,IF(OR(DG$9="",DAY(EOMONTH(DG$9,0))=0),0,IF((DG149-((SUMIFS(условия!$196:$196,условия!$8:$8,"&lt;="&amp;DG$9,условия!$9:$9,"&gt;="&amp;DG$9)/DAY(EOMONTH(DG$9,0)))*2*DG149-DF151))&lt;0,DF151+DG149,IF((SUMIFS(условия!$196:$196,условия!$8:$8,"&lt;="&amp;DG$9,условия!$9:$9,"&gt;="&amp;DG$9)/DAY(EOMONTH(DG$9,0)))*2*DG149-DF151&lt;0,0,(SUMIFS(условия!$196:$196,условия!$8:$8,"&lt;="&amp;DG$9,условия!$9:$9,"&gt;="&amp;DG$9)/DAY(EOMONTH(DG$9,0)))*2*DG149-DF151))))</f>
        <v>11247.695561351027</v>
      </c>
      <c r="DH151" s="33">
        <f>IF(DH$9="",0,IF(OR(DH$9="",DAY(EOMONTH(DH$9,0))=0),0,IF((DH149-((SUMIFS(условия!$196:$196,условия!$8:$8,"&lt;="&amp;DH$9,условия!$9:$9,"&gt;="&amp;DH$9)/DAY(EOMONTH(DH$9,0)))*2*DH149-DG151))&lt;0,DG151+DH149,IF((SUMIFS(условия!$196:$196,условия!$8:$8,"&lt;="&amp;DH$9,условия!$9:$9,"&gt;="&amp;DH$9)/DAY(EOMONTH(DH$9,0)))*2*DH149-DG151&lt;0,0,(SUMIFS(условия!$196:$196,условия!$8:$8,"&lt;="&amp;DH$9,условия!$9:$9,"&gt;="&amp;DH$9)/DAY(EOMONTH(DH$9,0)))*2*DH149-DG151))))</f>
        <v>9897.5101539252155</v>
      </c>
      <c r="DI151" s="33">
        <f>IF(DI$9="",0,IF(OR(DI$9="",DAY(EOMONTH(DI$9,0))=0),0,IF((DI149-((SUMIFS(условия!$196:$196,условия!$8:$8,"&lt;="&amp;DI$9,условия!$9:$9,"&gt;="&amp;DI$9)/DAY(EOMONTH(DI$9,0)))*2*DI149-DH151))&lt;0,DH151+DI149,IF((SUMIFS(условия!$196:$196,условия!$8:$8,"&lt;="&amp;DI$9,условия!$9:$9,"&gt;="&amp;DI$9)/DAY(EOMONTH(DI$9,0)))*2*DI149-DH151&lt;0,0,(SUMIFS(условия!$196:$196,условия!$8:$8,"&lt;="&amp;DI$9,условия!$9:$9,"&gt;="&amp;DI$9)/DAY(EOMONTH(DI$9,0)))*2*DI149-DH151))))</f>
        <v>22112.455450443602</v>
      </c>
      <c r="DJ151" s="33">
        <f>IF(DJ$9="",0,IF(OR(DJ$9="",DAY(EOMONTH(DJ$9,0))=0),0,IF((DJ149-((SUMIFS(условия!$196:$196,условия!$8:$8,"&lt;="&amp;DJ$9,условия!$9:$9,"&gt;="&amp;DJ$9)/DAY(EOMONTH(DJ$9,0)))*2*DJ149-DI151))&lt;0,DI151+DJ149,IF((SUMIFS(условия!$196:$196,условия!$8:$8,"&lt;="&amp;DJ$9,условия!$9:$9,"&gt;="&amp;DJ$9)/DAY(EOMONTH(DJ$9,0)))*2*DJ149-DI151&lt;0,0,(SUMIFS(условия!$196:$196,условия!$8:$8,"&lt;="&amp;DJ$9,условия!$9:$9,"&gt;="&amp;DJ$9)/DAY(EOMONTH(DJ$9,0)))*2*DJ149-DI151))))</f>
        <v>11111.706776928972</v>
      </c>
      <c r="DK151" s="33">
        <f>IF(DK$9="",0,IF(OR(DK$9="",DAY(EOMONTH(DK$9,0))=0),0,IF((DK149-((SUMIFS(условия!$196:$196,условия!$8:$8,"&lt;="&amp;DK$9,условия!$9:$9,"&gt;="&amp;DK$9)/DAY(EOMONTH(DK$9,0)))*2*DK149-DJ151))&lt;0,DJ151+DK149,IF((SUMIFS(условия!$196:$196,условия!$8:$8,"&lt;="&amp;DK$9,условия!$9:$9,"&gt;="&amp;DK$9)/DAY(EOMONTH(DK$9,0)))*2*DK149-DJ151&lt;0,0,(SUMIFS(условия!$196:$196,условия!$8:$8,"&lt;="&amp;DK$9,условия!$9:$9,"&gt;="&amp;DK$9)/DAY(EOMONTH(DK$9,0)))*2*DK149-DJ151))))</f>
        <v>3674.998140612257</v>
      </c>
      <c r="DL151" s="33">
        <f>IF(DL$9="",0,IF(OR(DL$9="",DAY(EOMONTH(DL$9,0))=0),0,IF((DL149-((SUMIFS(условия!$196:$196,условия!$8:$8,"&lt;="&amp;DL$9,условия!$9:$9,"&gt;="&amp;DL$9)/DAY(EOMONTH(DL$9,0)))*2*DL149-DK151))&lt;0,DK151+DL149,IF((SUMIFS(условия!$196:$196,условия!$8:$8,"&lt;="&amp;DL$9,условия!$9:$9,"&gt;="&amp;DL$9)/DAY(EOMONTH(DL$9,0)))*2*DL149-DK151&lt;0,0,(SUMIFS(условия!$196:$196,условия!$8:$8,"&lt;="&amp;DL$9,условия!$9:$9,"&gt;="&amp;DL$9)/DAY(EOMONTH(DL$9,0)))*2*DL149-DK151))))</f>
        <v>9698.0733618499471</v>
      </c>
      <c r="DM151" s="33">
        <f>IF(DM$9="",0,IF(OR(DM$9="",DAY(EOMONTH(DM$9,0))=0),0,IF((DM149-((SUMIFS(условия!$196:$196,условия!$8:$8,"&lt;="&amp;DM$9,условия!$9:$9,"&gt;="&amp;DM$9)/DAY(EOMONTH(DM$9,0)))*2*DM149-DL151))&lt;0,DL151+DM149,IF((SUMIFS(условия!$196:$196,условия!$8:$8,"&lt;="&amp;DM$9,условия!$9:$9,"&gt;="&amp;DM$9)/DAY(EOMONTH(DM$9,0)))*2*DM149-DL151&lt;0,0,(SUMIFS(условия!$196:$196,условия!$8:$8,"&lt;="&amp;DM$9,условия!$9:$9,"&gt;="&amp;DM$9)/DAY(EOMONTH(DM$9,0)))*2*DM149-DL151))))</f>
        <v>21591.948505748194</v>
      </c>
      <c r="DN151" s="33">
        <f>IF(DN$9="",0,IF(OR(DN$9="",DAY(EOMONTH(DN$9,0))=0),0,IF((DN149-((SUMIFS(условия!$196:$196,условия!$8:$8,"&lt;="&amp;DN$9,условия!$9:$9,"&gt;="&amp;DN$9)/DAY(EOMONTH(DN$9,0)))*2*DN149-DM151))&lt;0,DM151+DN149,IF((SUMIFS(условия!$196:$196,условия!$8:$8,"&lt;="&amp;DN$9,условия!$9:$9,"&gt;="&amp;DN$9)/DAY(EOMONTH(DN$9,0)))*2*DN149-DM151&lt;0,0,(SUMIFS(условия!$196:$196,условия!$8:$8,"&lt;="&amp;DN$9,условия!$9:$9,"&gt;="&amp;DN$9)/DAY(EOMONTH(DN$9,0)))*2*DN149-DM151))))</f>
        <v>0</v>
      </c>
      <c r="DO151" s="33">
        <f>IF(DO$9="",0,IF(OR(DO$9="",DAY(EOMONTH(DO$9,0))=0),0,IF((DO149-((SUMIFS(условия!$196:$196,условия!$8:$8,"&lt;="&amp;DO$9,условия!$9:$9,"&gt;="&amp;DO$9)/DAY(EOMONTH(DO$9,0)))*2*DO149-DN151))&lt;0,DN151+DO149,IF((SUMIFS(условия!$196:$196,условия!$8:$8,"&lt;="&amp;DO$9,условия!$9:$9,"&gt;="&amp;DO$9)/DAY(EOMONTH(DO$9,0)))*2*DO149-DN151&lt;0,0,(SUMIFS(условия!$196:$196,условия!$8:$8,"&lt;="&amp;DO$9,условия!$9:$9,"&gt;="&amp;DO$9)/DAY(EOMONTH(DO$9,0)))*2*DO149-DN151))))</f>
        <v>12778.483140076723</v>
      </c>
      <c r="DP151" s="33">
        <f>IF(DP$9="",0,IF(OR(DP$9="",DAY(EOMONTH(DP$9,0))=0),0,IF((DP149-((SUMIFS(условия!$196:$196,условия!$8:$8,"&lt;="&amp;DP$9,условия!$9:$9,"&gt;="&amp;DP$9)/DAY(EOMONTH(DP$9,0)))*2*DP149-DO151))&lt;0,DO151+DP149,IF((SUMIFS(условия!$196:$196,условия!$8:$8,"&lt;="&amp;DP$9,условия!$9:$9,"&gt;="&amp;DP$9)/DAY(EOMONTH(DP$9,0)))*2*DP149-DO151&lt;0,0,(SUMIFS(условия!$196:$196,условия!$8:$8,"&lt;="&amp;DP$9,условия!$9:$9,"&gt;="&amp;DP$9)/DAY(EOMONTH(DP$9,0)))*2*DP149-DO151))))</f>
        <v>0</v>
      </c>
      <c r="DQ151" s="33">
        <f>IF(DQ$9="",0,IF(OR(DQ$9="",DAY(EOMONTH(DQ$9,0))=0),0,IF((DQ149-((SUMIFS(условия!$196:$196,условия!$8:$8,"&lt;="&amp;DQ$9,условия!$9:$9,"&gt;="&amp;DQ$9)/DAY(EOMONTH(DQ$9,0)))*2*DQ149-DP151))&lt;0,DP151+DQ149,IF((SUMIFS(условия!$196:$196,условия!$8:$8,"&lt;="&amp;DQ$9,условия!$9:$9,"&gt;="&amp;DQ$9)/DAY(EOMONTH(DQ$9,0)))*2*DQ149-DP151&lt;0,0,(SUMIFS(условия!$196:$196,условия!$8:$8,"&lt;="&amp;DQ$9,условия!$9:$9,"&gt;="&amp;DQ$9)/DAY(EOMONTH(DQ$9,0)))*2*DQ149-DP151))))</f>
        <v>9995.6570254639373</v>
      </c>
      <c r="DR151" s="33">
        <f>IF(DR$9="",0,IF(OR(DR$9="",DAY(EOMONTH(DR$9,0))=0),0,IF((DR149-((SUMIFS(условия!$196:$196,условия!$8:$8,"&lt;="&amp;DR$9,условия!$9:$9,"&gt;="&amp;DR$9)/DAY(EOMONTH(DR$9,0)))*2*DR149-DQ151))&lt;0,DQ151+DR149,IF((SUMIFS(условия!$196:$196,условия!$8:$8,"&lt;="&amp;DR$9,условия!$9:$9,"&gt;="&amp;DR$9)/DAY(EOMONTH(DR$9,0)))*2*DR149-DQ151&lt;0,0,(SUMIFS(условия!$196:$196,условия!$8:$8,"&lt;="&amp;DR$9,условия!$9:$9,"&gt;="&amp;DR$9)/DAY(EOMONTH(DR$9,0)))*2*DR149-DQ151))))</f>
        <v>0</v>
      </c>
      <c r="DS151" s="33">
        <f>IF(DS$9="",0,IF(OR(DS$9="",DAY(EOMONTH(DS$9,0))=0),0,IF((DS149-((SUMIFS(условия!$196:$196,условия!$8:$8,"&lt;="&amp;DS$9,условия!$9:$9,"&gt;="&amp;DS$9)/DAY(EOMONTH(DS$9,0)))*2*DS149-DR151))&lt;0,DR151+DS149,IF((SUMIFS(условия!$196:$196,условия!$8:$8,"&lt;="&amp;DS$9,условия!$9:$9,"&gt;="&amp;DS$9)/DAY(EOMONTH(DS$9,0)))*2*DS149-DR151&lt;0,0,(SUMIFS(условия!$196:$196,условия!$8:$8,"&lt;="&amp;DS$9,условия!$9:$9,"&gt;="&amp;DS$9)/DAY(EOMONTH(DS$9,0)))*2*DS149-DR151))))</f>
        <v>12136.117767330588</v>
      </c>
      <c r="DT151" s="33">
        <f>IF(DT$9="",0,IF(OR(DT$9="",DAY(EOMONTH(DT$9,0))=0),0,IF((DT149-((SUMIFS(условия!$196:$196,условия!$8:$8,"&lt;="&amp;DT$9,условия!$9:$9,"&gt;="&amp;DT$9)/DAY(EOMONTH(DT$9,0)))*2*DT149-DS151))&lt;0,DS151+DT149,IF((SUMIFS(условия!$196:$196,условия!$8:$8,"&lt;="&amp;DT$9,условия!$9:$9,"&gt;="&amp;DT$9)/DAY(EOMONTH(DT$9,0)))*2*DT149-DS151&lt;0,0,(SUMIFS(условия!$196:$196,условия!$8:$8,"&lt;="&amp;DT$9,условия!$9:$9,"&gt;="&amp;DT$9)/DAY(EOMONTH(DT$9,0)))*2*DT149-DS151))))</f>
        <v>6364.776714326732</v>
      </c>
      <c r="DU151" s="33">
        <f>IF(DU$9="",0,IF(OR(DU$9="",DAY(EOMONTH(DU$9,0))=0),0,IF((DU149-((SUMIFS(условия!$196:$196,условия!$8:$8,"&lt;="&amp;DU$9,условия!$9:$9,"&gt;="&amp;DU$9)/DAY(EOMONTH(DU$9,0)))*2*DU149-DT151))&lt;0,DT151+DU149,IF((SUMIFS(условия!$196:$196,условия!$8:$8,"&lt;="&amp;DU$9,условия!$9:$9,"&gt;="&amp;DU$9)/DAY(EOMONTH(DU$9,0)))*2*DU149-DT151&lt;0,0,(SUMIFS(условия!$196:$196,условия!$8:$8,"&lt;="&amp;DU$9,условия!$9:$9,"&gt;="&amp;DU$9)/DAY(EOMONTH(DU$9,0)))*2*DU149-DT151))))</f>
        <v>23069.819534119422</v>
      </c>
      <c r="DV151" s="33">
        <f>IF(DV$9="",0,IF(OR(DV$9="",DAY(EOMONTH(DV$9,0))=0),0,IF((DV149-((SUMIFS(условия!$196:$196,условия!$8:$8,"&lt;="&amp;DV$9,условия!$9:$9,"&gt;="&amp;DV$9)/DAY(EOMONTH(DV$9,0)))*2*DV149-DU151))&lt;0,DU151+DV149,IF((SUMIFS(условия!$196:$196,условия!$8:$8,"&lt;="&amp;DV$9,условия!$9:$9,"&gt;="&amp;DV$9)/DAY(EOMONTH(DV$9,0)))*2*DV149-DU151&lt;0,0,(SUMIFS(условия!$196:$196,условия!$8:$8,"&lt;="&amp;DV$9,условия!$9:$9,"&gt;="&amp;DV$9)/DAY(EOMONTH(DV$9,0)))*2*DV149-DU151))))</f>
        <v>7726.4849596570384</v>
      </c>
      <c r="DW151" s="33">
        <f>IF(DW$9="",0,IF(OR(DW$9="",DAY(EOMONTH(DW$9,0))=0),0,IF((DW149-((SUMIFS(условия!$196:$196,условия!$8:$8,"&lt;="&amp;DW$9,условия!$9:$9,"&gt;="&amp;DW$9)/DAY(EOMONTH(DW$9,0)))*2*DW149-DV151))&lt;0,DV151+DW149,IF((SUMIFS(условия!$196:$196,условия!$8:$8,"&lt;="&amp;DW$9,условия!$9:$9,"&gt;="&amp;DW$9)/DAY(EOMONTH(DW$9,0)))*2*DW149-DV151&lt;0,0,(SUMIFS(условия!$196:$196,условия!$8:$8,"&lt;="&amp;DW$9,условия!$9:$9,"&gt;="&amp;DW$9)/DAY(EOMONTH(DW$9,0)))*2*DW149-DV151))))</f>
        <v>18821.311869109493</v>
      </c>
      <c r="DX151" s="33">
        <f>IF(DX$9="",0,IF(OR(DX$9="",DAY(EOMONTH(DX$9,0))=0),0,IF((DX149-((SUMIFS(условия!$196:$196,условия!$8:$8,"&lt;="&amp;DX$9,условия!$9:$9,"&gt;="&amp;DX$9)/DAY(EOMONTH(DX$9,0)))*2*DX149-DW151))&lt;0,DW151+DX149,IF((SUMIFS(условия!$196:$196,условия!$8:$8,"&lt;="&amp;DX$9,условия!$9:$9,"&gt;="&amp;DX$9)/DAY(EOMONTH(DX$9,0)))*2*DX149-DW151&lt;0,0,(SUMIFS(условия!$196:$196,условия!$8:$8,"&lt;="&amp;DX$9,условия!$9:$9,"&gt;="&amp;DX$9)/DAY(EOMONTH(DX$9,0)))*2*DX149-DW151))))</f>
        <v>0</v>
      </c>
      <c r="DY151" s="33">
        <f>IF(DY$9="",0,IF(OR(DY$9="",DAY(EOMONTH(DY$9,0))=0),0,IF((DY149-((SUMIFS(условия!$196:$196,условия!$8:$8,"&lt;="&amp;DY$9,условия!$9:$9,"&gt;="&amp;DY$9)/DAY(EOMONTH(DY$9,0)))*2*DY149-DX151))&lt;0,DX151+DY149,IF((SUMIFS(условия!$196:$196,условия!$8:$8,"&lt;="&amp;DY$9,условия!$9:$9,"&gt;="&amp;DY$9)/DAY(EOMONTH(DY$9,0)))*2*DY149-DX151&lt;0,0,(SUMIFS(условия!$196:$196,условия!$8:$8,"&lt;="&amp;DY$9,условия!$9:$9,"&gt;="&amp;DY$9)/DAY(EOMONTH(DY$9,0)))*2*DY149-DX151))))</f>
        <v>15738.259982258791</v>
      </c>
      <c r="DZ151" s="33">
        <f>IF(DZ$9="",0,IF(OR(DZ$9="",DAY(EOMONTH(DZ$9,0))=0),0,IF((DZ149-((SUMIFS(условия!$196:$196,условия!$8:$8,"&lt;="&amp;DZ$9,условия!$9:$9,"&gt;="&amp;DZ$9)/DAY(EOMONTH(DZ$9,0)))*2*DZ149-DY151))&lt;0,DY151+DZ149,IF((SUMIFS(условия!$196:$196,условия!$8:$8,"&lt;="&amp;DZ$9,условия!$9:$9,"&gt;="&amp;DZ$9)/DAY(EOMONTH(DZ$9,0)))*2*DZ149-DY151&lt;0,0,(SUMIFS(условия!$196:$196,условия!$8:$8,"&lt;="&amp;DZ$9,условия!$9:$9,"&gt;="&amp;DZ$9)/DAY(EOMONTH(DZ$9,0)))*2*DZ149-DY151))))</f>
        <v>0</v>
      </c>
      <c r="EA151" s="33">
        <f>IF(EA$9="",0,IF(OR(EA$9="",DAY(EOMONTH(EA$9,0))=0),0,IF((EA149-((SUMIFS(условия!$196:$196,условия!$8:$8,"&lt;="&amp;EA$9,условия!$9:$9,"&gt;="&amp;EA$9)/DAY(EOMONTH(EA$9,0)))*2*EA149-DZ151))&lt;0,DZ151+EA149,IF((SUMIFS(условия!$196:$196,условия!$8:$8,"&lt;="&amp;EA$9,условия!$9:$9,"&gt;="&amp;EA$9)/DAY(EOMONTH(EA$9,0)))*2*EA149-DZ151&lt;0,0,(SUMIFS(условия!$196:$196,условия!$8:$8,"&lt;="&amp;EA$9,условия!$9:$9,"&gt;="&amp;EA$9)/DAY(EOMONTH(EA$9,0)))*2*EA149-DZ151))))</f>
        <v>16656.842685060656</v>
      </c>
      <c r="EB151" s="33">
        <f>IF(EB$9="",0,IF(OR(EB$9="",DAY(EOMONTH(EB$9,0))=0),0,IF((EB149-((SUMIFS(условия!$196:$196,условия!$8:$8,"&lt;="&amp;EB$9,условия!$9:$9,"&gt;="&amp;EB$9)/DAY(EOMONTH(EB$9,0)))*2*EB149-EA151))&lt;0,EA151+EB149,IF((SUMIFS(условия!$196:$196,условия!$8:$8,"&lt;="&amp;EB$9,условия!$9:$9,"&gt;="&amp;EB$9)/DAY(EOMONTH(EB$9,0)))*2*EB149-EA151&lt;0,0,(SUMIFS(условия!$196:$196,условия!$8:$8,"&lt;="&amp;EB$9,условия!$9:$9,"&gt;="&amp;EB$9)/DAY(EOMONTH(EB$9,0)))*2*EB149-EA151))))</f>
        <v>0</v>
      </c>
      <c r="EC151" s="33">
        <f>IF(EC$9="",0,IF(OR(EC$9="",DAY(EOMONTH(EC$9,0))=0),0,IF((EC149-((SUMIFS(условия!$196:$196,условия!$8:$8,"&lt;="&amp;EC$9,условия!$9:$9,"&gt;="&amp;EC$9)/DAY(EOMONTH(EC$9,0)))*2*EC149-EB151))&lt;0,EB151+EC149,IF((SUMIFS(условия!$196:$196,условия!$8:$8,"&lt;="&amp;EC$9,условия!$9:$9,"&gt;="&amp;EC$9)/DAY(EOMONTH(EC$9,0)))*2*EC149-EB151&lt;0,0,(SUMIFS(условия!$196:$196,условия!$8:$8,"&lt;="&amp;EC$9,условия!$9:$9,"&gt;="&amp;EC$9)/DAY(EOMONTH(EC$9,0)))*2*EC149-EB151))))</f>
        <v>6790.1025506985698</v>
      </c>
      <c r="ED151" s="33">
        <f>IF(ED$9="",0,IF(OR(ED$9="",DAY(EOMONTH(ED$9,0))=0),0,IF((ED149-((SUMIFS(условия!$196:$196,условия!$8:$8,"&lt;="&amp;ED$9,условия!$9:$9,"&gt;="&amp;ED$9)/DAY(EOMONTH(ED$9,0)))*2*ED149-EC151))&lt;0,EC151+ED149,IF((SUMIFS(условия!$196:$196,условия!$8:$8,"&lt;="&amp;ED$9,условия!$9:$9,"&gt;="&amp;ED$9)/DAY(EOMONTH(ED$9,0)))*2*ED149-EC151&lt;0,0,(SUMIFS(условия!$196:$196,условия!$8:$8,"&lt;="&amp;ED$9,условия!$9:$9,"&gt;="&amp;ED$9)/DAY(EOMONTH(ED$9,0)))*2*ED149-EC151))))</f>
        <v>6517.0638485704312</v>
      </c>
      <c r="EE151" s="33">
        <f>IF(EE$9="",0,IF(OR(EE$9="",DAY(EOMONTH(EE$9,0))=0),0,IF((EE149-((SUMIFS(условия!$196:$196,условия!$8:$8,"&lt;="&amp;EE$9,условия!$9:$9,"&gt;="&amp;EE$9)/DAY(EOMONTH(EE$9,0)))*2*EE149-ED151))&lt;0,ED151+EE149,IF((SUMIFS(условия!$196:$196,условия!$8:$8,"&lt;="&amp;EE$9,условия!$9:$9,"&gt;="&amp;EE$9)/DAY(EOMONTH(EE$9,0)))*2*EE149-ED151&lt;0,0,(SUMIFS(условия!$196:$196,условия!$8:$8,"&lt;="&amp;EE$9,условия!$9:$9,"&gt;="&amp;EE$9)/DAY(EOMONTH(EE$9,0)))*2*EE149-ED151))))</f>
        <v>15509.085469299162</v>
      </c>
      <c r="EF151" s="33">
        <f>IF(EF$9="",0,IF(OR(EF$9="",DAY(EOMONTH(EF$9,0))=0),0,IF((EF149-((SUMIFS(условия!$196:$196,условия!$8:$8,"&lt;="&amp;EF$9,условия!$9:$9,"&gt;="&amp;EF$9)/DAY(EOMONTH(EF$9,0)))*2*EF149-EE151))&lt;0,EE151+EF149,IF((SUMIFS(условия!$196:$196,условия!$8:$8,"&lt;="&amp;EF$9,условия!$9:$9,"&gt;="&amp;EF$9)/DAY(EOMONTH(EF$9,0)))*2*EF149-EE151&lt;0,0,(SUMIFS(условия!$196:$196,условия!$8:$8,"&lt;="&amp;EF$9,условия!$9:$9,"&gt;="&amp;EF$9)/DAY(EOMONTH(EF$9,0)))*2*EF149-EE151))))</f>
        <v>10493.88372213924</v>
      </c>
      <c r="EG151" s="33">
        <f>IF(EG$9="",0,IF(OR(EG$9="",DAY(EOMONTH(EG$9,0))=0),0,IF((EG149-((SUMIFS(условия!$196:$196,условия!$8:$8,"&lt;="&amp;EG$9,условия!$9:$9,"&gt;="&amp;EG$9)/DAY(EOMONTH(EG$9,0)))*2*EG149-EF151))&lt;0,EF151+EG149,IF((SUMIFS(условия!$196:$196,условия!$8:$8,"&lt;="&amp;EG$9,условия!$9:$9,"&gt;="&amp;EG$9)/DAY(EOMONTH(EG$9,0)))*2*EG149-EF151&lt;0,0,(SUMIFS(условия!$196:$196,условия!$8:$8,"&lt;="&amp;EG$9,условия!$9:$9,"&gt;="&amp;EG$9)/DAY(EOMONTH(EG$9,0)))*2*EG149-EF151))))</f>
        <v>24150.565511589368</v>
      </c>
      <c r="EH151" s="33">
        <f>IF(EH$9="",0,IF(OR(EH$9="",DAY(EOMONTH(EH$9,0))=0),0,IF((EH149-((SUMIFS(условия!$196:$196,условия!$8:$8,"&lt;="&amp;EH$9,условия!$9:$9,"&gt;="&amp;EH$9)/DAY(EOMONTH(EH$9,0)))*2*EH149-EG151))&lt;0,EG151+EH149,IF((SUMIFS(условия!$196:$196,условия!$8:$8,"&lt;="&amp;EH$9,условия!$9:$9,"&gt;="&amp;EH$9)/DAY(EOMONTH(EH$9,0)))*2*EH149-EG151&lt;0,0,(SUMIFS(условия!$196:$196,условия!$8:$8,"&lt;="&amp;EH$9,условия!$9:$9,"&gt;="&amp;EH$9)/DAY(EOMONTH(EH$9,0)))*2*EH149-EG151))))</f>
        <v>14573.074482871874</v>
      </c>
      <c r="EI151" s="33">
        <f>IF(EI$9="",0,IF(OR(EI$9="",DAY(EOMONTH(EI$9,0))=0),0,IF((EI149-((SUMIFS(условия!$196:$196,условия!$8:$8,"&lt;="&amp;EI$9,условия!$9:$9,"&gt;="&amp;EI$9)/DAY(EOMONTH(EI$9,0)))*2*EI149-EH151))&lt;0,EH151+EI149,IF((SUMIFS(условия!$196:$196,условия!$8:$8,"&lt;="&amp;EI$9,условия!$9:$9,"&gt;="&amp;EI$9)/DAY(EOMONTH(EI$9,0)))*2*EI149-EH151&lt;0,0,(SUMIFS(условия!$196:$196,условия!$8:$8,"&lt;="&amp;EI$9,условия!$9:$9,"&gt;="&amp;EI$9)/DAY(EOMONTH(EI$9,0)))*2*EI149-EH151))))</f>
        <v>478.02597236113616</v>
      </c>
      <c r="EJ151" s="3"/>
      <c r="EK151" s="3"/>
    </row>
    <row r="152" spans="1:14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2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</row>
    <row r="153" spans="1:141" x14ac:dyDescent="0.25">
      <c r="A153" s="3"/>
      <c r="B153" s="3"/>
      <c r="C153" s="3"/>
      <c r="D153" s="3"/>
      <c r="E153" s="3"/>
      <c r="F153" s="10" t="str">
        <f>KPI!$F$161</f>
        <v>Оплата производственных расходов</v>
      </c>
      <c r="G153" s="3"/>
      <c r="H153" s="3"/>
      <c r="I153" s="3"/>
      <c r="J153" s="5" t="str">
        <f>IF($F153="","",INDEX(KPI!$I$11:$I$275,SUMIFS(KPI!$E$11:$E$275,KPI!$F$11:$F$275,$F153)))</f>
        <v>тыс.руб.</v>
      </c>
      <c r="K153" s="3"/>
      <c r="L153" s="3"/>
      <c r="M153" s="3"/>
      <c r="N153" s="3"/>
      <c r="O153" s="3"/>
      <c r="P153" s="3"/>
      <c r="Q153" s="12">
        <f>SUM(S153:EJ153)</f>
        <v>602510.83317896503</v>
      </c>
      <c r="R153" s="3"/>
      <c r="S153" s="55"/>
      <c r="T153" s="33">
        <f>S151+T149-T151</f>
        <v>0</v>
      </c>
      <c r="U153" s="33">
        <f t="shared" ref="U153:CF153" si="61">T151+U149-U151</f>
        <v>0</v>
      </c>
      <c r="V153" s="33">
        <f t="shared" si="61"/>
        <v>0</v>
      </c>
      <c r="W153" s="33">
        <f t="shared" si="61"/>
        <v>430.5</v>
      </c>
      <c r="X153" s="33">
        <f t="shared" si="61"/>
        <v>0</v>
      </c>
      <c r="Y153" s="33">
        <f t="shared" si="61"/>
        <v>1969.2682529032261</v>
      </c>
      <c r="Z153" s="33">
        <f t="shared" si="61"/>
        <v>0</v>
      </c>
      <c r="AA153" s="33">
        <f t="shared" si="61"/>
        <v>1474.6135224849111</v>
      </c>
      <c r="AB153" s="33">
        <f t="shared" si="61"/>
        <v>0</v>
      </c>
      <c r="AC153" s="33">
        <f t="shared" si="61"/>
        <v>2238.2447533610825</v>
      </c>
      <c r="AD153" s="33">
        <f t="shared" si="61"/>
        <v>0</v>
      </c>
      <c r="AE153" s="33">
        <f t="shared" si="61"/>
        <v>1777.7188476212277</v>
      </c>
      <c r="AF153" s="33">
        <f t="shared" si="61"/>
        <v>0</v>
      </c>
      <c r="AG153" s="33">
        <f t="shared" si="61"/>
        <v>2203.7993966010413</v>
      </c>
      <c r="AH153" s="33">
        <f t="shared" si="61"/>
        <v>0</v>
      </c>
      <c r="AI153" s="33">
        <f t="shared" si="61"/>
        <v>2227.2016078190873</v>
      </c>
      <c r="AJ153" s="33">
        <f t="shared" si="61"/>
        <v>0</v>
      </c>
      <c r="AK153" s="33">
        <f t="shared" si="61"/>
        <v>1768.5824914511059</v>
      </c>
      <c r="AL153" s="33">
        <f t="shared" si="61"/>
        <v>0</v>
      </c>
      <c r="AM153" s="33">
        <f t="shared" si="61"/>
        <v>2198.9761832014642</v>
      </c>
      <c r="AN153" s="33">
        <f t="shared" si="61"/>
        <v>0</v>
      </c>
      <c r="AO153" s="33">
        <f t="shared" si="61"/>
        <v>2334.9285192937027</v>
      </c>
      <c r="AP153" s="33">
        <f t="shared" si="61"/>
        <v>0</v>
      </c>
      <c r="AQ153" s="33">
        <f t="shared" si="61"/>
        <v>3068.3542867501183</v>
      </c>
      <c r="AR153" s="33">
        <f t="shared" si="61"/>
        <v>0</v>
      </c>
      <c r="AS153" s="33">
        <f t="shared" si="61"/>
        <v>2310.6259827943222</v>
      </c>
      <c r="AT153" s="33">
        <f t="shared" si="61"/>
        <v>0</v>
      </c>
      <c r="AU153" s="33">
        <f t="shared" si="61"/>
        <v>3759.4276498134695</v>
      </c>
      <c r="AV153" s="33">
        <f t="shared" si="61"/>
        <v>0</v>
      </c>
      <c r="AW153" s="33">
        <f t="shared" si="61"/>
        <v>1280.2669393259375</v>
      </c>
      <c r="AX153" s="33">
        <f t="shared" si="61"/>
        <v>1380.9033148630697</v>
      </c>
      <c r="AY153" s="33">
        <f t="shared" si="61"/>
        <v>0</v>
      </c>
      <c r="AZ153" s="33">
        <f t="shared" si="61"/>
        <v>3404.1594341574205</v>
      </c>
      <c r="BA153" s="33">
        <f t="shared" si="61"/>
        <v>0</v>
      </c>
      <c r="BB153" s="33">
        <f t="shared" si="61"/>
        <v>3756.5706752660644</v>
      </c>
      <c r="BC153" s="33">
        <f t="shared" si="61"/>
        <v>3164.2115254650244</v>
      </c>
      <c r="BD153" s="33">
        <f t="shared" si="61"/>
        <v>0</v>
      </c>
      <c r="BE153" s="33">
        <f t="shared" si="61"/>
        <v>2995.5295917323278</v>
      </c>
      <c r="BF153" s="33">
        <f t="shared" si="61"/>
        <v>0</v>
      </c>
      <c r="BG153" s="33">
        <f t="shared" si="61"/>
        <v>5893.8475614749914</v>
      </c>
      <c r="BH153" s="33">
        <f t="shared" si="61"/>
        <v>0</v>
      </c>
      <c r="BI153" s="33">
        <f t="shared" si="61"/>
        <v>0</v>
      </c>
      <c r="BJ153" s="33">
        <f t="shared" si="61"/>
        <v>4745.490784745708</v>
      </c>
      <c r="BK153" s="33">
        <f t="shared" si="61"/>
        <v>0</v>
      </c>
      <c r="BL153" s="33">
        <f t="shared" si="61"/>
        <v>0</v>
      </c>
      <c r="BM153" s="33">
        <f t="shared" si="61"/>
        <v>7583.3738763874389</v>
      </c>
      <c r="BN153" s="33">
        <f t="shared" si="61"/>
        <v>0</v>
      </c>
      <c r="BO153" s="33">
        <f t="shared" si="61"/>
        <v>7063.6823850589299</v>
      </c>
      <c r="BP153" s="33">
        <f t="shared" si="61"/>
        <v>0</v>
      </c>
      <c r="BQ153" s="33">
        <f t="shared" si="61"/>
        <v>0</v>
      </c>
      <c r="BR153" s="33">
        <f t="shared" si="61"/>
        <v>10133.920163568291</v>
      </c>
      <c r="BS153" s="33">
        <f t="shared" si="61"/>
        <v>0</v>
      </c>
      <c r="BT153" s="33">
        <f t="shared" si="61"/>
        <v>5241.5616797733064</v>
      </c>
      <c r="BU153" s="33">
        <f t="shared" si="61"/>
        <v>0</v>
      </c>
      <c r="BV153" s="33">
        <f t="shared" si="61"/>
        <v>5021.1158314337272</v>
      </c>
      <c r="BW153" s="33">
        <f t="shared" si="61"/>
        <v>0</v>
      </c>
      <c r="BX153" s="33">
        <f t="shared" si="61"/>
        <v>6727.0014852634713</v>
      </c>
      <c r="BY153" s="33">
        <f t="shared" si="61"/>
        <v>0</v>
      </c>
      <c r="BZ153" s="33">
        <f t="shared" si="61"/>
        <v>13701.827510231347</v>
      </c>
      <c r="CA153" s="33">
        <f t="shared" si="61"/>
        <v>0</v>
      </c>
      <c r="CB153" s="33">
        <f t="shared" si="61"/>
        <v>11649.138465938733</v>
      </c>
      <c r="CC153" s="33">
        <f t="shared" si="61"/>
        <v>0</v>
      </c>
      <c r="CD153" s="33">
        <f t="shared" si="61"/>
        <v>10575.09062927903</v>
      </c>
      <c r="CE153" s="33">
        <f t="shared" si="61"/>
        <v>0</v>
      </c>
      <c r="CF153" s="33">
        <f t="shared" si="61"/>
        <v>9976.8381447363427</v>
      </c>
      <c r="CG153" s="33">
        <f t="shared" ref="CG153:EI153" si="62">CF151+CG149-CG151</f>
        <v>0</v>
      </c>
      <c r="CH153" s="33">
        <f t="shared" si="62"/>
        <v>5665.4800791810912</v>
      </c>
      <c r="CI153" s="33">
        <f t="shared" si="62"/>
        <v>0</v>
      </c>
      <c r="CJ153" s="33">
        <f t="shared" si="62"/>
        <v>8984.3575004144077</v>
      </c>
      <c r="CK153" s="33">
        <f t="shared" si="62"/>
        <v>0</v>
      </c>
      <c r="CL153" s="33">
        <f t="shared" si="62"/>
        <v>18407.427382022626</v>
      </c>
      <c r="CM153" s="33">
        <f t="shared" si="62"/>
        <v>10545.81038091906</v>
      </c>
      <c r="CN153" s="33">
        <f t="shared" si="62"/>
        <v>0</v>
      </c>
      <c r="CO153" s="33">
        <f t="shared" si="62"/>
        <v>0</v>
      </c>
      <c r="CP153" s="33">
        <f t="shared" si="62"/>
        <v>18774.693310731469</v>
      </c>
      <c r="CQ153" s="33">
        <f t="shared" si="62"/>
        <v>0</v>
      </c>
      <c r="CR153" s="33">
        <f t="shared" si="62"/>
        <v>10750.489360001213</v>
      </c>
      <c r="CS153" s="33">
        <f t="shared" si="62"/>
        <v>0</v>
      </c>
      <c r="CT153" s="33">
        <f t="shared" si="62"/>
        <v>9429.34377202213</v>
      </c>
      <c r="CU153" s="33">
        <f t="shared" si="62"/>
        <v>0</v>
      </c>
      <c r="CV153" s="33">
        <f t="shared" si="62"/>
        <v>9815.2285548175314</v>
      </c>
      <c r="CW153" s="33">
        <f t="shared" si="62"/>
        <v>0</v>
      </c>
      <c r="CX153" s="33">
        <f t="shared" si="62"/>
        <v>24521.107846126837</v>
      </c>
      <c r="CY153" s="33">
        <f t="shared" si="62"/>
        <v>6812.8625490668019</v>
      </c>
      <c r="CZ153" s="33">
        <f t="shared" si="62"/>
        <v>7927.266366277554</v>
      </c>
      <c r="DA153" s="33">
        <f t="shared" si="62"/>
        <v>0</v>
      </c>
      <c r="DB153" s="33">
        <f t="shared" si="62"/>
        <v>14981.724111939879</v>
      </c>
      <c r="DC153" s="33">
        <f t="shared" si="62"/>
        <v>0</v>
      </c>
      <c r="DD153" s="33">
        <f t="shared" si="62"/>
        <v>14868.498232820899</v>
      </c>
      <c r="DE153" s="33">
        <f t="shared" si="62"/>
        <v>0</v>
      </c>
      <c r="DF153" s="33">
        <f t="shared" si="62"/>
        <v>7041.1467149217569</v>
      </c>
      <c r="DG153" s="33">
        <f t="shared" si="62"/>
        <v>0</v>
      </c>
      <c r="DH153" s="33">
        <f t="shared" si="62"/>
        <v>11922.788265063935</v>
      </c>
      <c r="DI153" s="33">
        <f t="shared" si="62"/>
        <v>0</v>
      </c>
      <c r="DJ153" s="33">
        <f t="shared" si="62"/>
        <v>27612.829787200913</v>
      </c>
      <c r="DK153" s="33">
        <f t="shared" si="62"/>
        <v>15076.506177046347</v>
      </c>
      <c r="DL153" s="33">
        <f t="shared" si="62"/>
        <v>0</v>
      </c>
      <c r="DM153" s="33">
        <f t="shared" si="62"/>
        <v>0</v>
      </c>
      <c r="DN153" s="33">
        <f t="shared" si="62"/>
        <v>27689.972685228837</v>
      </c>
      <c r="DO153" s="33">
        <f t="shared" si="62"/>
        <v>0</v>
      </c>
      <c r="DP153" s="33">
        <f t="shared" si="62"/>
        <v>15345.451818647969</v>
      </c>
      <c r="DQ153" s="33">
        <f t="shared" si="62"/>
        <v>0</v>
      </c>
      <c r="DR153" s="33">
        <f t="shared" si="62"/>
        <v>13347.395449409663</v>
      </c>
      <c r="DS153" s="33">
        <f t="shared" si="62"/>
        <v>0</v>
      </c>
      <c r="DT153" s="33">
        <f t="shared" si="62"/>
        <v>15021.788293832515</v>
      </c>
      <c r="DU153" s="33">
        <f t="shared" si="62"/>
        <v>0</v>
      </c>
      <c r="DV153" s="33">
        <f t="shared" si="62"/>
        <v>30741.486821350616</v>
      </c>
      <c r="DW153" s="33">
        <f t="shared" si="62"/>
        <v>0</v>
      </c>
      <c r="DX153" s="33">
        <f t="shared" si="62"/>
        <v>21498.484780816827</v>
      </c>
      <c r="DY153" s="33">
        <f t="shared" si="62"/>
        <v>0</v>
      </c>
      <c r="DZ153" s="33">
        <f t="shared" si="62"/>
        <v>18472.254293050992</v>
      </c>
      <c r="EA153" s="33">
        <f t="shared" si="62"/>
        <v>0</v>
      </c>
      <c r="EB153" s="33">
        <f t="shared" si="62"/>
        <v>19223.811363631903</v>
      </c>
      <c r="EC153" s="33">
        <f t="shared" si="62"/>
        <v>0</v>
      </c>
      <c r="ED153" s="33">
        <f t="shared" si="62"/>
        <v>7148.4080084171219</v>
      </c>
      <c r="EE153" s="33">
        <f t="shared" si="62"/>
        <v>0</v>
      </c>
      <c r="EF153" s="33">
        <f t="shared" si="62"/>
        <v>18016.686342879126</v>
      </c>
      <c r="EG153" s="33">
        <f t="shared" si="62"/>
        <v>0</v>
      </c>
      <c r="EH153" s="33">
        <f t="shared" si="62"/>
        <v>28939.311025948118</v>
      </c>
      <c r="EI153" s="33">
        <f t="shared" si="62"/>
        <v>21871.450412381128</v>
      </c>
      <c r="EJ153" s="3"/>
      <c r="EK153" s="3"/>
    </row>
    <row r="154" spans="1:14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</row>
    <row r="155" spans="1:141" x14ac:dyDescent="0.25">
      <c r="A155" s="3"/>
      <c r="B155" s="3"/>
      <c r="C155" s="3"/>
      <c r="D155" s="3"/>
      <c r="E155" s="3"/>
      <c r="F155" s="10" t="str">
        <f>KPI!$F$162</f>
        <v>Расходы логистики</v>
      </c>
      <c r="G155" s="3"/>
      <c r="H155" s="3"/>
      <c r="I155" s="3"/>
      <c r="J155" s="5" t="str">
        <f>IF($F155="","",INDEX(KPI!$I$11:$I$275,SUMIFS(KPI!$E$11:$E$275,KPI!$F$11:$F$275,$F155)))</f>
        <v>тыс.руб.</v>
      </c>
      <c r="K155" s="3"/>
      <c r="L155" s="3"/>
      <c r="M155" s="3"/>
      <c r="N155" s="3"/>
      <c r="O155" s="3"/>
      <c r="P155" s="3"/>
      <c r="Q155" s="12">
        <f>SUM(S155:EJ155)</f>
        <v>57171.138332060873</v>
      </c>
      <c r="R155" s="3"/>
      <c r="S155" s="55"/>
      <c r="T155" s="33">
        <f>T73+T75+T89</f>
        <v>0</v>
      </c>
      <c r="U155" s="33">
        <f t="shared" ref="U155:CF155" si="63">U73+U75+U89</f>
        <v>0</v>
      </c>
      <c r="V155" s="33">
        <f t="shared" si="63"/>
        <v>0</v>
      </c>
      <c r="W155" s="33">
        <f t="shared" si="63"/>
        <v>0</v>
      </c>
      <c r="X155" s="33">
        <f t="shared" si="63"/>
        <v>5.4</v>
      </c>
      <c r="Y155" s="33">
        <f t="shared" si="63"/>
        <v>4.5</v>
      </c>
      <c r="Z155" s="33">
        <f t="shared" si="63"/>
        <v>4.5</v>
      </c>
      <c r="AA155" s="33">
        <f t="shared" si="63"/>
        <v>5.4</v>
      </c>
      <c r="AB155" s="33">
        <f t="shared" si="63"/>
        <v>8.1000000000000014</v>
      </c>
      <c r="AC155" s="33">
        <f t="shared" si="63"/>
        <v>10.8</v>
      </c>
      <c r="AD155" s="33">
        <f t="shared" si="63"/>
        <v>13.5</v>
      </c>
      <c r="AE155" s="33">
        <f t="shared" si="63"/>
        <v>11.7</v>
      </c>
      <c r="AF155" s="33">
        <f t="shared" si="63"/>
        <v>21.772800000000004</v>
      </c>
      <c r="AG155" s="33">
        <f t="shared" si="63"/>
        <v>25.401600000000002</v>
      </c>
      <c r="AH155" s="33">
        <f t="shared" si="63"/>
        <v>29.030400000000004</v>
      </c>
      <c r="AI155" s="33">
        <f t="shared" si="63"/>
        <v>29.030400000000004</v>
      </c>
      <c r="AJ155" s="33">
        <f t="shared" si="63"/>
        <v>21.772800000000004</v>
      </c>
      <c r="AK155" s="33">
        <f t="shared" si="63"/>
        <v>18.144000000000002</v>
      </c>
      <c r="AL155" s="33">
        <f t="shared" si="63"/>
        <v>18.144000000000002</v>
      </c>
      <c r="AM155" s="33">
        <f t="shared" si="63"/>
        <v>21.772800000000004</v>
      </c>
      <c r="AN155" s="33">
        <f t="shared" si="63"/>
        <v>32.659200000000006</v>
      </c>
      <c r="AO155" s="33">
        <f t="shared" si="63"/>
        <v>43.545600000000007</v>
      </c>
      <c r="AP155" s="33">
        <f t="shared" si="63"/>
        <v>54.432000000000009</v>
      </c>
      <c r="AQ155" s="33">
        <f t="shared" si="63"/>
        <v>47.174399999999999</v>
      </c>
      <c r="AR155" s="33">
        <f t="shared" si="63"/>
        <v>63.221760000000017</v>
      </c>
      <c r="AS155" s="33">
        <f t="shared" si="63"/>
        <v>73.758720000000011</v>
      </c>
      <c r="AT155" s="33">
        <f t="shared" si="63"/>
        <v>84.295680000000004</v>
      </c>
      <c r="AU155" s="33">
        <f t="shared" si="63"/>
        <v>84.295680000000004</v>
      </c>
      <c r="AV155" s="33">
        <f t="shared" si="63"/>
        <v>63.221760000000017</v>
      </c>
      <c r="AW155" s="33">
        <f t="shared" si="63"/>
        <v>52.68480000000001</v>
      </c>
      <c r="AX155" s="33">
        <f t="shared" si="63"/>
        <v>52.68480000000001</v>
      </c>
      <c r="AY155" s="33">
        <f t="shared" si="63"/>
        <v>63.221760000000017</v>
      </c>
      <c r="AZ155" s="33">
        <f t="shared" si="63"/>
        <v>94.832640000000012</v>
      </c>
      <c r="BA155" s="33">
        <f t="shared" si="63"/>
        <v>126.44352000000003</v>
      </c>
      <c r="BB155" s="33">
        <f t="shared" si="63"/>
        <v>158.05440000000002</v>
      </c>
      <c r="BC155" s="33">
        <f t="shared" si="63"/>
        <v>136.98048</v>
      </c>
      <c r="BD155" s="33">
        <f t="shared" si="63"/>
        <v>130.39488000000009</v>
      </c>
      <c r="BE155" s="33">
        <f t="shared" si="63"/>
        <v>152.1273600000001</v>
      </c>
      <c r="BF155" s="33">
        <f t="shared" si="63"/>
        <v>173.85984000000008</v>
      </c>
      <c r="BG155" s="33">
        <f t="shared" si="63"/>
        <v>173.85984000000008</v>
      </c>
      <c r="BH155" s="33">
        <f t="shared" si="63"/>
        <v>130.39488000000009</v>
      </c>
      <c r="BI155" s="33">
        <f t="shared" si="63"/>
        <v>108.66240000000006</v>
      </c>
      <c r="BJ155" s="33">
        <f t="shared" si="63"/>
        <v>108.66240000000006</v>
      </c>
      <c r="BK155" s="33">
        <f t="shared" si="63"/>
        <v>130.39488000000009</v>
      </c>
      <c r="BL155" s="33">
        <f t="shared" si="63"/>
        <v>195.59232000000009</v>
      </c>
      <c r="BM155" s="33">
        <f t="shared" si="63"/>
        <v>260.78976000000017</v>
      </c>
      <c r="BN155" s="33">
        <f t="shared" si="63"/>
        <v>325.9872000000002</v>
      </c>
      <c r="BO155" s="33">
        <f t="shared" si="63"/>
        <v>282.52224000000018</v>
      </c>
      <c r="BP155" s="33">
        <f t="shared" si="63"/>
        <v>262.27998720000011</v>
      </c>
      <c r="BQ155" s="33">
        <f t="shared" si="63"/>
        <v>305.99331840000019</v>
      </c>
      <c r="BR155" s="33">
        <f t="shared" si="63"/>
        <v>349.70664960000011</v>
      </c>
      <c r="BS155" s="33">
        <f t="shared" si="63"/>
        <v>349.70664960000011</v>
      </c>
      <c r="BT155" s="33">
        <f t="shared" si="63"/>
        <v>262.27998720000011</v>
      </c>
      <c r="BU155" s="33">
        <f t="shared" si="63"/>
        <v>218.56665600000008</v>
      </c>
      <c r="BV155" s="33">
        <f t="shared" si="63"/>
        <v>218.56665600000008</v>
      </c>
      <c r="BW155" s="33">
        <f t="shared" si="63"/>
        <v>262.27998720000011</v>
      </c>
      <c r="BX155" s="33">
        <f t="shared" si="63"/>
        <v>393.41998080000013</v>
      </c>
      <c r="BY155" s="33">
        <f t="shared" si="63"/>
        <v>524.55997440000021</v>
      </c>
      <c r="BZ155" s="33">
        <f t="shared" si="63"/>
        <v>655.69996800000024</v>
      </c>
      <c r="CA155" s="33">
        <f t="shared" si="63"/>
        <v>568.27330560000019</v>
      </c>
      <c r="CB155" s="33">
        <f t="shared" si="63"/>
        <v>367.84768204800008</v>
      </c>
      <c r="CC155" s="33">
        <f t="shared" si="63"/>
        <v>429.15562905600024</v>
      </c>
      <c r="CD155" s="33">
        <f t="shared" si="63"/>
        <v>490.46357606400022</v>
      </c>
      <c r="CE155" s="33">
        <f t="shared" si="63"/>
        <v>490.46357606400022</v>
      </c>
      <c r="CF155" s="33">
        <f t="shared" si="63"/>
        <v>367.84768204800008</v>
      </c>
      <c r="CG155" s="33">
        <f t="shared" ref="CG155:EI155" si="64">CG73+CG75+CG89</f>
        <v>306.5397350400001</v>
      </c>
      <c r="CH155" s="33">
        <f t="shared" si="64"/>
        <v>306.5397350400001</v>
      </c>
      <c r="CI155" s="33">
        <f t="shared" si="64"/>
        <v>367.84768204800008</v>
      </c>
      <c r="CJ155" s="33">
        <f t="shared" si="64"/>
        <v>551.77152307200015</v>
      </c>
      <c r="CK155" s="33">
        <f t="shared" si="64"/>
        <v>735.69536409600016</v>
      </c>
      <c r="CL155" s="33">
        <f t="shared" si="64"/>
        <v>919.61920512000029</v>
      </c>
      <c r="CM155" s="33">
        <f t="shared" si="64"/>
        <v>797.00331110400032</v>
      </c>
      <c r="CN155" s="33">
        <f t="shared" si="64"/>
        <v>499.84008560640029</v>
      </c>
      <c r="CO155" s="33">
        <f t="shared" si="64"/>
        <v>583.14676654080029</v>
      </c>
      <c r="CP155" s="33">
        <f t="shared" si="64"/>
        <v>666.45344747520039</v>
      </c>
      <c r="CQ155" s="33">
        <f t="shared" si="64"/>
        <v>666.45344747520039</v>
      </c>
      <c r="CR155" s="33">
        <f t="shared" si="64"/>
        <v>499.84008560640029</v>
      </c>
      <c r="CS155" s="33">
        <f t="shared" si="64"/>
        <v>416.53340467200019</v>
      </c>
      <c r="CT155" s="33">
        <f t="shared" si="64"/>
        <v>416.53340467200019</v>
      </c>
      <c r="CU155" s="33">
        <f t="shared" si="64"/>
        <v>499.84008560640029</v>
      </c>
      <c r="CV155" s="33">
        <f t="shared" si="64"/>
        <v>749.76012840960038</v>
      </c>
      <c r="CW155" s="33">
        <f t="shared" si="64"/>
        <v>999.68017121280059</v>
      </c>
      <c r="CX155" s="33">
        <f t="shared" si="64"/>
        <v>1336.3457687768625</v>
      </c>
      <c r="CY155" s="33">
        <f t="shared" si="64"/>
        <v>1082.9868521472006</v>
      </c>
      <c r="CZ155" s="33">
        <f t="shared" si="64"/>
        <v>605.36188145664028</v>
      </c>
      <c r="DA155" s="33">
        <f t="shared" si="64"/>
        <v>706.25552836608028</v>
      </c>
      <c r="DB155" s="33">
        <f t="shared" si="64"/>
        <v>807.14917527552041</v>
      </c>
      <c r="DC155" s="33">
        <f t="shared" si="64"/>
        <v>807.14917527552041</v>
      </c>
      <c r="DD155" s="33">
        <f t="shared" si="64"/>
        <v>605.36188145664028</v>
      </c>
      <c r="DE155" s="33">
        <f t="shared" si="64"/>
        <v>504.46823454720027</v>
      </c>
      <c r="DF155" s="33">
        <f t="shared" si="64"/>
        <v>504.46823454720027</v>
      </c>
      <c r="DG155" s="33">
        <f t="shared" si="64"/>
        <v>605.36188145664028</v>
      </c>
      <c r="DH155" s="33">
        <f t="shared" si="64"/>
        <v>908.04282218496041</v>
      </c>
      <c r="DI155" s="33">
        <f t="shared" si="64"/>
        <v>1210.7237629132806</v>
      </c>
      <c r="DJ155" s="33">
        <f t="shared" si="64"/>
        <v>1513.4047036416007</v>
      </c>
      <c r="DK155" s="33">
        <f t="shared" si="64"/>
        <v>1311.6174098227207</v>
      </c>
      <c r="DL155" s="33">
        <f t="shared" si="64"/>
        <v>706.97619727257643</v>
      </c>
      <c r="DM155" s="33">
        <f t="shared" si="64"/>
        <v>824.80556348467269</v>
      </c>
      <c r="DN155" s="33">
        <f t="shared" si="64"/>
        <v>942.63492969676849</v>
      </c>
      <c r="DO155" s="33">
        <f t="shared" si="64"/>
        <v>942.63492969676849</v>
      </c>
      <c r="DP155" s="33">
        <f t="shared" si="64"/>
        <v>706.97619727257643</v>
      </c>
      <c r="DQ155" s="33">
        <f t="shared" si="64"/>
        <v>589.14683106048028</v>
      </c>
      <c r="DR155" s="33">
        <f t="shared" si="64"/>
        <v>589.14683106048028</v>
      </c>
      <c r="DS155" s="33">
        <f t="shared" si="64"/>
        <v>706.97619727257643</v>
      </c>
      <c r="DT155" s="33">
        <f t="shared" si="64"/>
        <v>1060.4642959088646</v>
      </c>
      <c r="DU155" s="33">
        <f t="shared" si="64"/>
        <v>1413.9523945451529</v>
      </c>
      <c r="DV155" s="33">
        <f t="shared" si="64"/>
        <v>1767.4404931814411</v>
      </c>
      <c r="DW155" s="33">
        <f t="shared" si="64"/>
        <v>1531.7817607572488</v>
      </c>
      <c r="DX155" s="33">
        <f t="shared" si="64"/>
        <v>763.5342930543826</v>
      </c>
      <c r="DY155" s="33">
        <f t="shared" si="64"/>
        <v>890.79000856344646</v>
      </c>
      <c r="DZ155" s="33">
        <f t="shared" si="64"/>
        <v>1018.04572407251</v>
      </c>
      <c r="EA155" s="33">
        <f t="shared" si="64"/>
        <v>1018.04572407251</v>
      </c>
      <c r="EB155" s="33">
        <f t="shared" si="64"/>
        <v>763.5342930543826</v>
      </c>
      <c r="EC155" s="33">
        <f t="shared" si="64"/>
        <v>636.27857754531874</v>
      </c>
      <c r="ED155" s="33">
        <f t="shared" si="64"/>
        <v>636.27857754531874</v>
      </c>
      <c r="EE155" s="33">
        <f t="shared" si="64"/>
        <v>763.5342930543826</v>
      </c>
      <c r="EF155" s="33">
        <f t="shared" si="64"/>
        <v>1145.3014395815737</v>
      </c>
      <c r="EG155" s="33">
        <f t="shared" si="64"/>
        <v>1527.0685861087652</v>
      </c>
      <c r="EH155" s="33">
        <f t="shared" si="64"/>
        <v>1908.8357326359562</v>
      </c>
      <c r="EI155" s="33">
        <f t="shared" si="64"/>
        <v>1654.324301617829</v>
      </c>
      <c r="EJ155" s="3"/>
      <c r="EK155" s="3"/>
    </row>
    <row r="156" spans="1:14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</row>
    <row r="157" spans="1:141" x14ac:dyDescent="0.25">
      <c r="A157" s="3"/>
      <c r="B157" s="3"/>
      <c r="C157" s="3"/>
      <c r="D157" s="3"/>
      <c r="E157" s="3"/>
      <c r="F157" s="10" t="str">
        <f>KPI!$F$164</f>
        <v>Кред. задолж-ть по расходам логистики на конец периода</v>
      </c>
      <c r="G157" s="3"/>
      <c r="H157" s="3"/>
      <c r="I157" s="3"/>
      <c r="J157" s="5" t="str">
        <f>IF($F157="","",INDEX(KPI!$I$11:$I$275,SUMIFS(KPI!$E$11:$E$275,KPI!$F$11:$F$275,$F157)))</f>
        <v>тыс.руб.</v>
      </c>
      <c r="K157" s="3"/>
      <c r="L157" s="3"/>
      <c r="M157" s="3"/>
      <c r="N157" s="3"/>
      <c r="O157" s="3"/>
      <c r="P157" s="3"/>
      <c r="Q157" s="12"/>
      <c r="R157" s="3"/>
      <c r="S157" s="55"/>
      <c r="T157" s="33">
        <f>IF(T$9="",0,IF(OR(T$9="",DAY(EOMONTH(T$9,0))=0),0,IF((T155-((SUMIFS(условия!$198:$198,условия!$8:$8,"&lt;="&amp;T$9,условия!$9:$9,"&gt;="&amp;T$9)/DAY(EOMONTH(T$9,0)))*2*T155-S157))&lt;0,S157+T155,IF((SUMIFS(условия!$198:$198,условия!$8:$8,"&lt;="&amp;T$9,условия!$9:$9,"&gt;="&amp;T$9)/DAY(EOMONTH(T$9,0)))*2*T155-S157&lt;0,0,(SUMIFS(условия!$198:$198,условия!$8:$8,"&lt;="&amp;T$9,условия!$9:$9,"&gt;="&amp;T$9)/DAY(EOMONTH(T$9,0)))*2*T155-S157))))</f>
        <v>0</v>
      </c>
      <c r="U157" s="33">
        <f>IF(U$9="",0,IF(OR(U$9="",DAY(EOMONTH(U$9,0))=0),0,IF((U155-((SUMIFS(условия!$198:$198,условия!$8:$8,"&lt;="&amp;U$9,условия!$9:$9,"&gt;="&amp;U$9)/DAY(EOMONTH(U$9,0)))*2*U155-T157))&lt;0,T157+U155,IF((SUMIFS(условия!$198:$198,условия!$8:$8,"&lt;="&amp;U$9,условия!$9:$9,"&gt;="&amp;U$9)/DAY(EOMONTH(U$9,0)))*2*U155-T157&lt;0,0,(SUMIFS(условия!$198:$198,условия!$8:$8,"&lt;="&amp;U$9,условия!$9:$9,"&gt;="&amp;U$9)/DAY(EOMONTH(U$9,0)))*2*U155-T157))))</f>
        <v>0</v>
      </c>
      <c r="V157" s="33">
        <f>IF(V$9="",0,IF(OR(V$9="",DAY(EOMONTH(V$9,0))=0),0,IF((V155-((SUMIFS(условия!$198:$198,условия!$8:$8,"&lt;="&amp;V$9,условия!$9:$9,"&gt;="&amp;V$9)/DAY(EOMONTH(V$9,0)))*2*V155-U157))&lt;0,U157+V155,IF((SUMIFS(условия!$198:$198,условия!$8:$8,"&lt;="&amp;V$9,условия!$9:$9,"&gt;="&amp;V$9)/DAY(EOMONTH(V$9,0)))*2*V155-U157&lt;0,0,(SUMIFS(условия!$198:$198,условия!$8:$8,"&lt;="&amp;V$9,условия!$9:$9,"&gt;="&amp;V$9)/DAY(EOMONTH(V$9,0)))*2*V155-U157))))</f>
        <v>0</v>
      </c>
      <c r="W157" s="33">
        <f>IF(W$9="",0,IF(OR(W$9="",DAY(EOMONTH(W$9,0))=0),0,IF((W155-((SUMIFS(условия!$198:$198,условия!$8:$8,"&lt;="&amp;W$9,условия!$9:$9,"&gt;="&amp;W$9)/DAY(EOMONTH(W$9,0)))*2*W155-V157))&lt;0,V157+W155,IF((SUMIFS(условия!$198:$198,условия!$8:$8,"&lt;="&amp;W$9,условия!$9:$9,"&gt;="&amp;W$9)/DAY(EOMONTH(W$9,0)))*2*W155-V157&lt;0,0,(SUMIFS(условия!$198:$198,условия!$8:$8,"&lt;="&amp;W$9,условия!$9:$9,"&gt;="&amp;W$9)/DAY(EOMONTH(W$9,0)))*2*W155-V157))))</f>
        <v>0</v>
      </c>
      <c r="X157" s="33">
        <f>IF(X$9="",0,IF(OR(X$9="",DAY(EOMONTH(X$9,0))=0),0,IF((X155-((SUMIFS(условия!$198:$198,условия!$8:$8,"&lt;="&amp;X$9,условия!$9:$9,"&gt;="&amp;X$9)/DAY(EOMONTH(X$9,0)))*2*X155-W157))&lt;0,W157+X155,IF((SUMIFS(условия!$198:$198,условия!$8:$8,"&lt;="&amp;X$9,условия!$9:$9,"&gt;="&amp;X$9)/DAY(EOMONTH(X$9,0)))*2*X155-W157&lt;0,0,(SUMIFS(условия!$198:$198,условия!$8:$8,"&lt;="&amp;X$9,условия!$9:$9,"&gt;="&amp;X$9)/DAY(EOMONTH(X$9,0)))*2*X155-W157))))</f>
        <v>5.4</v>
      </c>
      <c r="Y157" s="33">
        <f>IF(Y$9="",0,IF(OR(Y$9="",DAY(EOMONTH(Y$9,0))=0),0,IF((Y155-((SUMIFS(условия!$198:$198,условия!$8:$8,"&lt;="&amp;Y$9,условия!$9:$9,"&gt;="&amp;Y$9)/DAY(EOMONTH(Y$9,0)))*2*Y155-X157))&lt;0,X157+Y155,IF((SUMIFS(условия!$198:$198,условия!$8:$8,"&lt;="&amp;Y$9,условия!$9:$9,"&gt;="&amp;Y$9)/DAY(EOMONTH(Y$9,0)))*2*Y155-X157&lt;0,0,(SUMIFS(условия!$198:$198,условия!$8:$8,"&lt;="&amp;Y$9,условия!$9:$9,"&gt;="&amp;Y$9)/DAY(EOMONTH(Y$9,0)))*2*Y155-X157))))</f>
        <v>0.59999999999999964</v>
      </c>
      <c r="Z157" s="33">
        <f>IF(Z$9="",0,IF(OR(Z$9="",DAY(EOMONTH(Z$9,0))=0),0,IF((Z155-((SUMIFS(условия!$198:$198,условия!$8:$8,"&lt;="&amp;Z$9,условия!$9:$9,"&gt;="&amp;Z$9)/DAY(EOMONTH(Z$9,0)))*2*Z155-Y157))&lt;0,Y157+Z155,IF((SUMIFS(условия!$198:$198,условия!$8:$8,"&lt;="&amp;Z$9,условия!$9:$9,"&gt;="&amp;Z$9)/DAY(EOMONTH(Z$9,0)))*2*Z155-Y157&lt;0,0,(SUMIFS(условия!$198:$198,условия!$8:$8,"&lt;="&amp;Z$9,условия!$9:$9,"&gt;="&amp;Z$9)/DAY(EOMONTH(Z$9,0)))*2*Z155-Y157))))</f>
        <v>5.0999999999999996</v>
      </c>
      <c r="AA157" s="33">
        <f>IF(AA$9="",0,IF(OR(AA$9="",DAY(EOMONTH(AA$9,0))=0),0,IF((AA155-((SUMIFS(условия!$198:$198,условия!$8:$8,"&lt;="&amp;AA$9,условия!$9:$9,"&gt;="&amp;AA$9)/DAY(EOMONTH(AA$9,0)))*2*AA155-Z157))&lt;0,Z157+AA155,IF((SUMIFS(условия!$198:$198,условия!$8:$8,"&lt;="&amp;AA$9,условия!$9:$9,"&gt;="&amp;AA$9)/DAY(EOMONTH(AA$9,0)))*2*AA155-Z157&lt;0,0,(SUMIFS(условия!$198:$198,условия!$8:$8,"&lt;="&amp;AA$9,условия!$9:$9,"&gt;="&amp;AA$9)/DAY(EOMONTH(AA$9,0)))*2*AA155-Z157))))</f>
        <v>1.8677419354838714</v>
      </c>
      <c r="AB157" s="33">
        <f>IF(AB$9="",0,IF(OR(AB$9="",DAY(EOMONTH(AB$9,0))=0),0,IF((AB155-((SUMIFS(условия!$198:$198,условия!$8:$8,"&lt;="&amp;AB$9,условия!$9:$9,"&gt;="&amp;AB$9)/DAY(EOMONTH(AB$9,0)))*2*AB155-AA157))&lt;0,AA157+AB155,IF((SUMIFS(условия!$198:$198,условия!$8:$8,"&lt;="&amp;AB$9,условия!$9:$9,"&gt;="&amp;AB$9)/DAY(EOMONTH(AB$9,0)))*2*AB155-AA157&lt;0,0,(SUMIFS(условия!$198:$198,условия!$8:$8,"&lt;="&amp;AB$9,условия!$9:$9,"&gt;="&amp;AB$9)/DAY(EOMONTH(AB$9,0)))*2*AB155-AA157))))</f>
        <v>9.9677419354838719</v>
      </c>
      <c r="AC157" s="33">
        <f>IF(AC$9="",0,IF(OR(AC$9="",DAY(EOMONTH(AC$9,0))=0),0,IF((AC155-((SUMIFS(условия!$198:$198,условия!$8:$8,"&lt;="&amp;AC$9,условия!$9:$9,"&gt;="&amp;AC$9)/DAY(EOMONTH(AC$9,0)))*2*AC155-AB157))&lt;0,AB157+AC155,IF((SUMIFS(условия!$198:$198,условия!$8:$8,"&lt;="&amp;AC$9,условия!$9:$9,"&gt;="&amp;AC$9)/DAY(EOMONTH(AC$9,0)))*2*AC155-AB157&lt;0,0,(SUMIFS(условия!$198:$198,условия!$8:$8,"&lt;="&amp;AC$9,условия!$9:$9,"&gt;="&amp;AC$9)/DAY(EOMONTH(AC$9,0)))*2*AC155-AB157))))</f>
        <v>3.9677419354838701</v>
      </c>
      <c r="AD157" s="33">
        <f>IF(AD$9="",0,IF(OR(AD$9="",DAY(EOMONTH(AD$9,0))=0),0,IF((AD155-((SUMIFS(условия!$198:$198,условия!$8:$8,"&lt;="&amp;AD$9,условия!$9:$9,"&gt;="&amp;AD$9)/DAY(EOMONTH(AD$9,0)))*2*AD155-AC157))&lt;0,AC157+AD155,IF((SUMIFS(условия!$198:$198,условия!$8:$8,"&lt;="&amp;AD$9,условия!$9:$9,"&gt;="&amp;AD$9)/DAY(EOMONTH(AD$9,0)))*2*AD155-AC157&lt;0,0,(SUMIFS(условия!$198:$198,условия!$8:$8,"&lt;="&amp;AD$9,условия!$9:$9,"&gt;="&amp;AD$9)/DAY(EOMONTH(AD$9,0)))*2*AD155-AC157))))</f>
        <v>17.467741935483872</v>
      </c>
      <c r="AE157" s="33">
        <f>IF(AE$9="",0,IF(OR(AE$9="",DAY(EOMONTH(AE$9,0))=0),0,IF((AE155-((SUMIFS(условия!$198:$198,условия!$8:$8,"&lt;="&amp;AE$9,условия!$9:$9,"&gt;="&amp;AE$9)/DAY(EOMONTH(AE$9,0)))*2*AE155-AD157))&lt;0,AD157+AE155,IF((SUMIFS(условия!$198:$198,условия!$8:$8,"&lt;="&amp;AE$9,условия!$9:$9,"&gt;="&amp;AE$9)/DAY(EOMONTH(AE$9,0)))*2*AE155-AD157&lt;0,0,(SUMIFS(условия!$198:$198,условия!$8:$8,"&lt;="&amp;AE$9,условия!$9:$9,"&gt;="&amp;AE$9)/DAY(EOMONTH(AE$9,0)))*2*AE155-AD157))))</f>
        <v>0</v>
      </c>
      <c r="AF157" s="33">
        <f>IF(AF$9="",0,IF(OR(AF$9="",DAY(EOMONTH(AF$9,0))=0),0,IF((AF155-((SUMIFS(условия!$198:$198,условия!$8:$8,"&lt;="&amp;AF$9,условия!$9:$9,"&gt;="&amp;AF$9)/DAY(EOMONTH(AF$9,0)))*2*AF155-AE157))&lt;0,AE157+AF155,IF((SUMIFS(условия!$198:$198,условия!$8:$8,"&lt;="&amp;AF$9,условия!$9:$9,"&gt;="&amp;AF$9)/DAY(EOMONTH(AF$9,0)))*2*AF155-AE157&lt;0,0,(SUMIFS(условия!$198:$198,условия!$8:$8,"&lt;="&amp;AF$9,условия!$9:$9,"&gt;="&amp;AF$9)/DAY(EOMONTH(AF$9,0)))*2*AF155-AE157))))</f>
        <v>21.772800000000004</v>
      </c>
      <c r="AG157" s="33">
        <f>IF(AG$9="",0,IF(OR(AG$9="",DAY(EOMONTH(AG$9,0))=0),0,IF((AG155-((SUMIFS(условия!$198:$198,условия!$8:$8,"&lt;="&amp;AG$9,условия!$9:$9,"&gt;="&amp;AG$9)/DAY(EOMONTH(AG$9,0)))*2*AG155-AF157))&lt;0,AF157+AG155,IF((SUMIFS(условия!$198:$198,условия!$8:$8,"&lt;="&amp;AG$9,условия!$9:$9,"&gt;="&amp;AG$9)/DAY(EOMONTH(AG$9,0)))*2*AG155-AF157&lt;0,0,(SUMIFS(условия!$198:$198,условия!$8:$8,"&lt;="&amp;AG$9,условия!$9:$9,"&gt;="&amp;AG$9)/DAY(EOMONTH(AG$9,0)))*2*AG155-AF157))))</f>
        <v>14.5152</v>
      </c>
      <c r="AH157" s="33">
        <f>IF(AH$9="",0,IF(OR(AH$9="",DAY(EOMONTH(AH$9,0))=0),0,IF((AH155-((SUMIFS(условия!$198:$198,условия!$8:$8,"&lt;="&amp;AH$9,условия!$9:$9,"&gt;="&amp;AH$9)/DAY(EOMONTH(AH$9,0)))*2*AH155-AG157))&lt;0,AG157+AH155,IF((SUMIFS(условия!$198:$198,условия!$8:$8,"&lt;="&amp;AH$9,условия!$9:$9,"&gt;="&amp;AH$9)/DAY(EOMONTH(AH$9,0)))*2*AH155-AG157&lt;0,0,(SUMIFS(условия!$198:$198,условия!$8:$8,"&lt;="&amp;AH$9,условия!$9:$9,"&gt;="&amp;AH$9)/DAY(EOMONTH(AH$9,0)))*2*AH155-AG157))))</f>
        <v>22.943380645161291</v>
      </c>
      <c r="AI157" s="33">
        <f>IF(AI$9="",0,IF(OR(AI$9="",DAY(EOMONTH(AI$9,0))=0),0,IF((AI155-((SUMIFS(условия!$198:$198,условия!$8:$8,"&lt;="&amp;AI$9,условия!$9:$9,"&gt;="&amp;AI$9)/DAY(EOMONTH(AI$9,0)))*2*AI155-AH157))&lt;0,AH157+AI155,IF((SUMIFS(условия!$198:$198,условия!$8:$8,"&lt;="&amp;AI$9,условия!$9:$9,"&gt;="&amp;AI$9)/DAY(EOMONTH(AI$9,0)))*2*AI155-AH157&lt;0,0,(SUMIFS(условия!$198:$198,условия!$8:$8,"&lt;="&amp;AI$9,условия!$9:$9,"&gt;="&amp;AI$9)/DAY(EOMONTH(AI$9,0)))*2*AI155-AH157))))</f>
        <v>15.763819354838709</v>
      </c>
      <c r="AJ157" s="33">
        <f>IF(AJ$9="",0,IF(OR(AJ$9="",DAY(EOMONTH(AJ$9,0))=0),0,IF((AJ155-((SUMIFS(условия!$198:$198,условия!$8:$8,"&lt;="&amp;AJ$9,условия!$9:$9,"&gt;="&amp;AJ$9)/DAY(EOMONTH(AJ$9,0)))*2*AJ155-AI157))&lt;0,AI157+AJ155,IF((SUMIFS(условия!$198:$198,условия!$8:$8,"&lt;="&amp;AJ$9,условия!$9:$9,"&gt;="&amp;AJ$9)/DAY(EOMONTH(AJ$9,0)))*2*AJ155-AI157&lt;0,0,(SUMIFS(условия!$198:$198,условия!$8:$8,"&lt;="&amp;AJ$9,условия!$9:$9,"&gt;="&amp;AJ$9)/DAY(EOMONTH(AJ$9,0)))*2*AJ155-AI157))))</f>
        <v>12.330116129032263</v>
      </c>
      <c r="AK157" s="33">
        <f>IF(AK$9="",0,IF(OR(AK$9="",DAY(EOMONTH(AK$9,0))=0),0,IF((AK155-((SUMIFS(условия!$198:$198,условия!$8:$8,"&lt;="&amp;AK$9,условия!$9:$9,"&gt;="&amp;AK$9)/DAY(EOMONTH(AK$9,0)))*2*AK155-AJ157))&lt;0,AJ157+AK155,IF((SUMIFS(условия!$198:$198,условия!$8:$8,"&lt;="&amp;AK$9,условия!$9:$9,"&gt;="&amp;AK$9)/DAY(EOMONTH(AK$9,0)))*2*AK155-AJ157&lt;0,0,(SUMIFS(условия!$198:$198,условия!$8:$8,"&lt;="&amp;AK$9,условия!$9:$9,"&gt;="&amp;AK$9)/DAY(EOMONTH(AK$9,0)))*2*AK155-AJ157))))</f>
        <v>11.861883870967738</v>
      </c>
      <c r="AL157" s="33">
        <f>IF(AL$9="",0,IF(OR(AL$9="",DAY(EOMONTH(AL$9,0))=0),0,IF((AL155-((SUMIFS(условия!$198:$198,условия!$8:$8,"&lt;="&amp;AL$9,условия!$9:$9,"&gt;="&amp;AL$9)/DAY(EOMONTH(AL$9,0)))*2*AL155-AK157))&lt;0,AK157+AL155,IF((SUMIFS(условия!$198:$198,условия!$8:$8,"&lt;="&amp;AL$9,условия!$9:$9,"&gt;="&amp;AL$9)/DAY(EOMONTH(AL$9,0)))*2*AL155-AK157&lt;0,0,(SUMIFS(условия!$198:$198,условия!$8:$8,"&lt;="&amp;AL$9,условия!$9:$9,"&gt;="&amp;AL$9)/DAY(EOMONTH(AL$9,0)))*2*AL155-AK157))))</f>
        <v>11.549729032258071</v>
      </c>
      <c r="AM157" s="33">
        <f>IF(AM$9="",0,IF(OR(AM$9="",DAY(EOMONTH(AM$9,0))=0),0,IF((AM155-((SUMIFS(условия!$198:$198,условия!$8:$8,"&lt;="&amp;AM$9,условия!$9:$9,"&gt;="&amp;AM$9)/DAY(EOMONTH(AM$9,0)))*2*AM155-AL157))&lt;0,AL157+AM155,IF((SUMIFS(условия!$198:$198,условия!$8:$8,"&lt;="&amp;AM$9,условия!$9:$9,"&gt;="&amp;AM$9)/DAY(EOMONTH(AM$9,0)))*2*AM155-AL157&lt;0,0,(SUMIFS(условия!$198:$198,условия!$8:$8,"&lt;="&amp;AM$9,условия!$9:$9,"&gt;="&amp;AM$9)/DAY(EOMONTH(AM$9,0)))*2*AM155-AL157))))</f>
        <v>16.544206451612901</v>
      </c>
      <c r="AN157" s="33">
        <f>IF(AN$9="",0,IF(OR(AN$9="",DAY(EOMONTH(AN$9,0))=0),0,IF((AN155-((SUMIFS(условия!$198:$198,условия!$8:$8,"&lt;="&amp;AN$9,условия!$9:$9,"&gt;="&amp;AN$9)/DAY(EOMONTH(AN$9,0)))*2*AN155-AM157))&lt;0,AM157+AN155,IF((SUMIFS(условия!$198:$198,условия!$8:$8,"&lt;="&amp;AN$9,условия!$9:$9,"&gt;="&amp;AN$9)/DAY(EOMONTH(AN$9,0)))*2*AN155-AM157&lt;0,0,(SUMIFS(условия!$198:$198,условия!$8:$8,"&lt;="&amp;AN$9,условия!$9:$9,"&gt;="&amp;AN$9)/DAY(EOMONTH(AN$9,0)))*2*AN155-AM157))))</f>
        <v>27.001393548387107</v>
      </c>
      <c r="AO157" s="33">
        <f>IF(AO$9="",0,IF(OR(AO$9="",DAY(EOMONTH(AO$9,0))=0),0,IF((AO155-((SUMIFS(условия!$198:$198,условия!$8:$8,"&lt;="&amp;AO$9,условия!$9:$9,"&gt;="&amp;AO$9)/DAY(EOMONTH(AO$9,0)))*2*AO155-AN157))&lt;0,AN157+AO155,IF((SUMIFS(условия!$198:$198,условия!$8:$8,"&lt;="&amp;AO$9,условия!$9:$9,"&gt;="&amp;AO$9)/DAY(EOMONTH(AO$9,0)))*2*AO155-AN157&lt;0,0,(SUMIFS(условия!$198:$198,условия!$8:$8,"&lt;="&amp;AO$9,условия!$9:$9,"&gt;="&amp;AO$9)/DAY(EOMONTH(AO$9,0)))*2*AO155-AN157))))</f>
        <v>29.186477419354837</v>
      </c>
      <c r="AP157" s="33">
        <f>IF(AP$9="",0,IF(OR(AP$9="",DAY(EOMONTH(AP$9,0))=0),0,IF((AP155-((SUMIFS(условия!$198:$198,условия!$8:$8,"&lt;="&amp;AP$9,условия!$9:$9,"&gt;="&amp;AP$9)/DAY(EOMONTH(AP$9,0)))*2*AP155-AO157))&lt;0,AO157+AP155,IF((SUMIFS(условия!$198:$198,условия!$8:$8,"&lt;="&amp;AP$9,условия!$9:$9,"&gt;="&amp;AP$9)/DAY(EOMONTH(AP$9,0)))*2*AP155-AO157&lt;0,0,(SUMIFS(условия!$198:$198,условия!$8:$8,"&lt;="&amp;AP$9,условия!$9:$9,"&gt;="&amp;AP$9)/DAY(EOMONTH(AP$9,0)))*2*AP155-AO157))))</f>
        <v>43.389522580645171</v>
      </c>
      <c r="AQ157" s="33">
        <f>IF(AQ$9="",0,IF(OR(AQ$9="",DAY(EOMONTH(AQ$9,0))=0),0,IF((AQ155-((SUMIFS(условия!$198:$198,условия!$8:$8,"&lt;="&amp;AQ$9,условия!$9:$9,"&gt;="&amp;AQ$9)/DAY(EOMONTH(AQ$9,0)))*2*AQ155-AP157))&lt;0,AP157+AQ155,IF((SUMIFS(условия!$198:$198,условия!$8:$8,"&lt;="&amp;AQ$9,условия!$9:$9,"&gt;="&amp;AQ$9)/DAY(EOMONTH(AQ$9,0)))*2*AQ155-AP157&lt;0,0,(SUMIFS(условия!$198:$198,условия!$8:$8,"&lt;="&amp;AQ$9,условия!$9:$9,"&gt;="&amp;AQ$9)/DAY(EOMONTH(AQ$9,0)))*2*AQ155-AP157))))</f>
        <v>17.480670967741922</v>
      </c>
      <c r="AR157" s="33">
        <f>IF(AR$9="",0,IF(OR(AR$9="",DAY(EOMONTH(AR$9,0))=0),0,IF((AR155-((SUMIFS(условия!$198:$198,условия!$8:$8,"&lt;="&amp;AR$9,условия!$9:$9,"&gt;="&amp;AR$9)/DAY(EOMONTH(AR$9,0)))*2*AR155-AQ157))&lt;0,AQ157+AR155,IF((SUMIFS(условия!$198:$198,условия!$8:$8,"&lt;="&amp;AR$9,условия!$9:$9,"&gt;="&amp;AR$9)/DAY(EOMONTH(AR$9,0)))*2*AR155-AQ157&lt;0,0,(SUMIFS(условия!$198:$198,условия!$8:$8,"&lt;="&amp;AR$9,условия!$9:$9,"&gt;="&amp;AR$9)/DAY(EOMONTH(AR$9,0)))*2*AR155-AQ157))))</f>
        <v>80.702430967741947</v>
      </c>
      <c r="AS157" s="33">
        <f>IF(AS$9="",0,IF(OR(AS$9="",DAY(EOMONTH(AS$9,0))=0),0,IF((AS155-((SUMIFS(условия!$198:$198,условия!$8:$8,"&lt;="&amp;AS$9,условия!$9:$9,"&gt;="&amp;AS$9)/DAY(EOMONTH(AS$9,0)))*2*AS155-AR157))&lt;0,AR157+AS155,IF((SUMIFS(условия!$198:$198,условия!$8:$8,"&lt;="&amp;AS$9,условия!$9:$9,"&gt;="&amp;AS$9)/DAY(EOMONTH(AS$9,0)))*2*AS155-AR157&lt;0,0,(SUMIFS(условия!$198:$198,условия!$8:$8,"&lt;="&amp;AS$9,условия!$9:$9,"&gt;="&amp;AS$9)/DAY(EOMONTH(AS$9,0)))*2*AS155-AR157))))</f>
        <v>24.667169032258073</v>
      </c>
      <c r="AT157" s="33">
        <f>IF(AT$9="",0,IF(OR(AT$9="",DAY(EOMONTH(AT$9,0))=0),0,IF((AT155-((SUMIFS(условия!$198:$198,условия!$8:$8,"&lt;="&amp;AT$9,условия!$9:$9,"&gt;="&amp;AT$9)/DAY(EOMONTH(AT$9,0)))*2*AT155-AS157))&lt;0,AS157+AT155,IF((SUMIFS(условия!$198:$198,условия!$8:$8,"&lt;="&amp;AT$9,условия!$9:$9,"&gt;="&amp;AT$9)/DAY(EOMONTH(AT$9,0)))*2*AT155-AS157&lt;0,0,(SUMIFS(условия!$198:$198,условия!$8:$8,"&lt;="&amp;AT$9,условия!$9:$9,"&gt;="&amp;AT$9)/DAY(EOMONTH(AT$9,0)))*2*AT155-AS157))))</f>
        <v>84.101450322580632</v>
      </c>
      <c r="AU157" s="33">
        <f>IF(AU$9="",0,IF(OR(AU$9="",DAY(EOMONTH(AU$9,0))=0),0,IF((AU155-((SUMIFS(условия!$198:$198,условия!$8:$8,"&lt;="&amp;AU$9,условия!$9:$9,"&gt;="&amp;AU$9)/DAY(EOMONTH(AU$9,0)))*2*AU155-AT157))&lt;0,AT157+AU155,IF((SUMIFS(условия!$198:$198,условия!$8:$8,"&lt;="&amp;AU$9,условия!$9:$9,"&gt;="&amp;AU$9)/DAY(EOMONTH(AU$9,0)))*2*AU155-AT157&lt;0,0,(SUMIFS(условия!$198:$198,условия!$8:$8,"&lt;="&amp;AU$9,условия!$9:$9,"&gt;="&amp;AU$9)/DAY(EOMONTH(AU$9,0)))*2*AU155-AT157))))</f>
        <v>28.292789677419364</v>
      </c>
      <c r="AV157" s="33">
        <f>IF(AV$9="",0,IF(OR(AV$9="",DAY(EOMONTH(AV$9,0))=0),0,IF((AV155-((SUMIFS(условия!$198:$198,условия!$8:$8,"&lt;="&amp;AV$9,условия!$9:$9,"&gt;="&amp;AV$9)/DAY(EOMONTH(AV$9,0)))*2*AV155-AU157))&lt;0,AU157+AV155,IF((SUMIFS(условия!$198:$198,условия!$8:$8,"&lt;="&amp;AV$9,условия!$9:$9,"&gt;="&amp;AV$9)/DAY(EOMONTH(AV$9,0)))*2*AV155-AU157&lt;0,0,(SUMIFS(условия!$198:$198,условия!$8:$8,"&lt;="&amp;AV$9,условия!$9:$9,"&gt;="&amp;AV$9)/DAY(EOMONTH(AV$9,0)))*2*AV155-AU157))))</f>
        <v>53.283674838709686</v>
      </c>
      <c r="AW157" s="33">
        <f>IF(AW$9="",0,IF(OR(AW$9="",DAY(EOMONTH(AW$9,0))=0),0,IF((AW155-((SUMIFS(условия!$198:$198,условия!$8:$8,"&lt;="&amp;AW$9,условия!$9:$9,"&gt;="&amp;AW$9)/DAY(EOMONTH(AW$9,0)))*2*AW155-AV157))&lt;0,AV157+AW155,IF((SUMIFS(условия!$198:$198,условия!$8:$8,"&lt;="&amp;AW$9,условия!$9:$9,"&gt;="&amp;AW$9)/DAY(EOMONTH(AW$9,0)))*2*AW155-AV157&lt;0,0,(SUMIFS(условия!$198:$198,условия!$8:$8,"&lt;="&amp;AW$9,условия!$9:$9,"&gt;="&amp;AW$9)/DAY(EOMONTH(AW$9,0)))*2*AW155-AV157))))</f>
        <v>16.962725161290322</v>
      </c>
      <c r="AX157" s="33">
        <f>IF(AX$9="",0,IF(OR(AX$9="",DAY(EOMONTH(AX$9,0))=0),0,IF((AX155-((SUMIFS(условия!$198:$198,условия!$8:$8,"&lt;="&amp;AX$9,условия!$9:$9,"&gt;="&amp;AX$9)/DAY(EOMONTH(AX$9,0)))*2*AX155-AW157))&lt;0,AW157+AX155,IF((SUMIFS(условия!$198:$198,условия!$8:$8,"&lt;="&amp;AX$9,условия!$9:$9,"&gt;="&amp;AX$9)/DAY(EOMONTH(AX$9,0)))*2*AX155-AW157&lt;0,0,(SUMIFS(условия!$198:$198,условия!$8:$8,"&lt;="&amp;AX$9,условия!$9:$9,"&gt;="&amp;AX$9)/DAY(EOMONTH(AX$9,0)))*2*AX155-AW157))))</f>
        <v>51.017661935483886</v>
      </c>
      <c r="AY157" s="33">
        <f>IF(AY$9="",0,IF(OR(AY$9="",DAY(EOMONTH(AY$9,0))=0),0,IF((AY155-((SUMIFS(условия!$198:$198,условия!$8:$8,"&lt;="&amp;AY$9,условия!$9:$9,"&gt;="&amp;AY$9)/DAY(EOMONTH(AY$9,0)))*2*AY155-AX157))&lt;0,AX157+AY155,IF((SUMIFS(условия!$198:$198,условия!$8:$8,"&lt;="&amp;AY$9,условия!$9:$9,"&gt;="&amp;AY$9)/DAY(EOMONTH(AY$9,0)))*2*AY155-AX157&lt;0,0,(SUMIFS(условия!$198:$198,условия!$8:$8,"&lt;="&amp;AY$9,условия!$9:$9,"&gt;="&amp;AY$9)/DAY(EOMONTH(AY$9,0)))*2*AY155-AX157))))</f>
        <v>30.558802580645164</v>
      </c>
      <c r="AZ157" s="33">
        <f>IF(AZ$9="",0,IF(OR(AZ$9="",DAY(EOMONTH(AZ$9,0))=0),0,IF((AZ155-((SUMIFS(условия!$198:$198,условия!$8:$8,"&lt;="&amp;AZ$9,условия!$9:$9,"&gt;="&amp;AZ$9)/DAY(EOMONTH(AZ$9,0)))*2*AZ155-AY157))&lt;0,AY157+AZ155,IF((SUMIFS(условия!$198:$198,условия!$8:$8,"&lt;="&amp;AZ$9,условия!$9:$9,"&gt;="&amp;AZ$9)/DAY(EOMONTH(AZ$9,0)))*2*AZ155-AY157&lt;0,0,(SUMIFS(условия!$198:$198,условия!$8:$8,"&lt;="&amp;AZ$9,условия!$9:$9,"&gt;="&amp;AZ$9)/DAY(EOMONTH(AZ$9,0)))*2*AZ155-AY157))))</f>
        <v>125.39144258064518</v>
      </c>
      <c r="BA157" s="33">
        <f>IF(BA$9="",0,IF(OR(BA$9="",DAY(EOMONTH(BA$9,0))=0),0,IF((BA155-((SUMIFS(условия!$198:$198,условия!$8:$8,"&lt;="&amp;BA$9,условия!$9:$9,"&gt;="&amp;BA$9)/DAY(EOMONTH(BA$9,0)))*2*BA155-AZ157))&lt;0,AZ157+BA155,IF((SUMIFS(условия!$198:$198,условия!$8:$8,"&lt;="&amp;BA$9,условия!$9:$9,"&gt;="&amp;BA$9)/DAY(EOMONTH(BA$9,0)))*2*BA155-AZ157&lt;0,0,(SUMIFS(условия!$198:$198,условия!$8:$8,"&lt;="&amp;BA$9,условия!$9:$9,"&gt;="&amp;BA$9)/DAY(EOMONTH(BA$9,0)))*2*BA155-AZ157))))</f>
        <v>37.761486451612924</v>
      </c>
      <c r="BB157" s="33">
        <f>IF(BB$9="",0,IF(OR(BB$9="",DAY(EOMONTH(BB$9,0))=0),0,IF((BB155-((SUMIFS(условия!$198:$198,условия!$8:$8,"&lt;="&amp;BB$9,условия!$9:$9,"&gt;="&amp;BB$9)/DAY(EOMONTH(BB$9,0)))*2*BB155-BA157))&lt;0,BA157+BB155,IF((SUMIFS(условия!$198:$198,условия!$8:$8,"&lt;="&amp;BB$9,условия!$9:$9,"&gt;="&amp;BB$9)/DAY(EOMONTH(BB$9,0)))*2*BB155-BA157&lt;0,0,(SUMIFS(условия!$198:$198,условия!$8:$8,"&lt;="&amp;BB$9,условия!$9:$9,"&gt;="&amp;BB$9)/DAY(EOMONTH(BB$9,0)))*2*BB155-BA157))))</f>
        <v>195.81588645161293</v>
      </c>
      <c r="BC157" s="33">
        <f>IF(BC$9="",0,IF(OR(BC$9="",DAY(EOMONTH(BC$9,0))=0),0,IF((BC155-((SUMIFS(условия!$198:$198,условия!$8:$8,"&lt;="&amp;BC$9,условия!$9:$9,"&gt;="&amp;BC$9)/DAY(EOMONTH(BC$9,0)))*2*BC155-BB157))&lt;0,BB157+BC155,IF((SUMIFS(условия!$198:$198,условия!$8:$8,"&lt;="&amp;BC$9,условия!$9:$9,"&gt;="&amp;BC$9)/DAY(EOMONTH(BC$9,0)))*2*BC155-BB157&lt;0,0,(SUMIFS(условия!$198:$198,условия!$8:$8,"&lt;="&amp;BC$9,условия!$9:$9,"&gt;="&amp;BC$9)/DAY(EOMONTH(BC$9,0)))*2*BC155-BB157))))</f>
        <v>0</v>
      </c>
      <c r="BD157" s="33">
        <f>IF(BD$9="",0,IF(OR(BD$9="",DAY(EOMONTH(BD$9,0))=0),0,IF((BD155-((SUMIFS(условия!$198:$198,условия!$8:$8,"&lt;="&amp;BD$9,условия!$9:$9,"&gt;="&amp;BD$9)/DAY(EOMONTH(BD$9,0)))*2*BD155-BC157))&lt;0,BC157+BD155,IF((SUMIFS(условия!$198:$198,условия!$8:$8,"&lt;="&amp;BD$9,условия!$9:$9,"&gt;="&amp;BD$9)/DAY(EOMONTH(BD$9,0)))*2*BD155-BC157&lt;0,0,(SUMIFS(условия!$198:$198,условия!$8:$8,"&lt;="&amp;BD$9,условия!$9:$9,"&gt;="&amp;BD$9)/DAY(EOMONTH(BD$9,0)))*2*BD155-BC157))))</f>
        <v>130.39488000000009</v>
      </c>
      <c r="BE157" s="33">
        <f>IF(BE$9="",0,IF(OR(BE$9="",DAY(EOMONTH(BE$9,0))=0),0,IF((BE155-((SUMIFS(условия!$198:$198,условия!$8:$8,"&lt;="&amp;BE$9,условия!$9:$9,"&gt;="&amp;BE$9)/DAY(EOMONTH(BE$9,0)))*2*BE155-BD157))&lt;0,BD157+BE155,IF((SUMIFS(условия!$198:$198,условия!$8:$8,"&lt;="&amp;BE$9,условия!$9:$9,"&gt;="&amp;BE$9)/DAY(EOMONTH(BE$9,0)))*2*BE155-BD157&lt;0,0,(SUMIFS(условия!$198:$198,условия!$8:$8,"&lt;="&amp;BE$9,условия!$9:$9,"&gt;="&amp;BE$9)/DAY(EOMONTH(BE$9,0)))*2*BE155-BD157))))</f>
        <v>79.435961379310413</v>
      </c>
      <c r="BF157" s="33">
        <f>IF(BF$9="",0,IF(OR(BF$9="",DAY(EOMONTH(BF$9,0))=0),0,IF((BF155-((SUMIFS(условия!$198:$198,условия!$8:$8,"&lt;="&amp;BF$9,условия!$9:$9,"&gt;="&amp;BF$9)/DAY(EOMONTH(BF$9,0)))*2*BF155-BE157))&lt;0,BE157+BF155,IF((SUMIFS(условия!$198:$198,условия!$8:$8,"&lt;="&amp;BF$9,условия!$9:$9,"&gt;="&amp;BF$9)/DAY(EOMONTH(BF$9,0)))*2*BF155-BE157&lt;0,0,(SUMIFS(условия!$198:$198,условия!$8:$8,"&lt;="&amp;BF$9,условия!$9:$9,"&gt;="&amp;BF$9)/DAY(EOMONTH(BF$9,0)))*2*BF155-BE157))))</f>
        <v>144.89931604004451</v>
      </c>
      <c r="BG157" s="33">
        <f>IF(BG$9="",0,IF(OR(BG$9="",DAY(EOMONTH(BG$9,0))=0),0,IF((BG155-((SUMIFS(условия!$198:$198,условия!$8:$8,"&lt;="&amp;BG$9,условия!$9:$9,"&gt;="&amp;BG$9)/DAY(EOMONTH(BG$9,0)))*2*BG155-BF157))&lt;0,BF157+BG155,IF((SUMIFS(условия!$198:$198,условия!$8:$8,"&lt;="&amp;BG$9,условия!$9:$9,"&gt;="&amp;BG$9)/DAY(EOMONTH(BG$9,0)))*2*BG155-BF157&lt;0,0,(SUMIFS(условия!$198:$198,условия!$8:$8,"&lt;="&amp;BG$9,условия!$9:$9,"&gt;="&amp;BG$9)/DAY(EOMONTH(BG$9,0)))*2*BG155-BF157))))</f>
        <v>86.913803959955573</v>
      </c>
      <c r="BH157" s="33">
        <f>IF(BH$9="",0,IF(OR(BH$9="",DAY(EOMONTH(BH$9,0))=0),0,IF((BH155-((SUMIFS(условия!$198:$198,условия!$8:$8,"&lt;="&amp;BH$9,условия!$9:$9,"&gt;="&amp;BH$9)/DAY(EOMONTH(BH$9,0)))*2*BH155-BG157))&lt;0,BG157+BH155,IF((SUMIFS(условия!$198:$198,условия!$8:$8,"&lt;="&amp;BH$9,условия!$9:$9,"&gt;="&amp;BH$9)/DAY(EOMONTH(BH$9,0)))*2*BH155-BG157&lt;0,0,(SUMIFS(условия!$198:$198,условия!$8:$8,"&lt;="&amp;BH$9,условия!$9:$9,"&gt;="&amp;BH$9)/DAY(EOMONTH(BH$9,0)))*2*BH155-BG157))))</f>
        <v>81.33765410456067</v>
      </c>
      <c r="BI157" s="33">
        <f>IF(BI$9="",0,IF(OR(BI$9="",DAY(EOMONTH(BI$9,0))=0),0,IF((BI155-((SUMIFS(условия!$198:$198,условия!$8:$8,"&lt;="&amp;BI$9,условия!$9:$9,"&gt;="&amp;BI$9)/DAY(EOMONTH(BI$9,0)))*2*BI155-BH157))&lt;0,BH157+BI155,IF((SUMIFS(условия!$198:$198,условия!$8:$8,"&lt;="&amp;BI$9,условия!$9:$9,"&gt;="&amp;BI$9)/DAY(EOMONTH(BI$9,0)))*2*BI155-BH157&lt;0,0,(SUMIFS(условия!$198:$198,условия!$8:$8,"&lt;="&amp;BI$9,условия!$9:$9,"&gt;="&amp;BI$9)/DAY(EOMONTH(BI$9,0)))*2*BI155-BH157))))</f>
        <v>63.545545895439403</v>
      </c>
      <c r="BJ157" s="33">
        <f>IF(BJ$9="",0,IF(OR(BJ$9="",DAY(EOMONTH(BJ$9,0))=0),0,IF((BJ155-((SUMIFS(условия!$198:$198,условия!$8:$8,"&lt;="&amp;BJ$9,условия!$9:$9,"&gt;="&amp;BJ$9)/DAY(EOMONTH(BJ$9,0)))*2*BJ155-BI157))&lt;0,BI157+BJ155,IF((SUMIFS(условия!$198:$198,условия!$8:$8,"&lt;="&amp;BJ$9,условия!$9:$9,"&gt;="&amp;BJ$9)/DAY(EOMONTH(BJ$9,0)))*2*BJ155-BI157&lt;0,0,(SUMIFS(условия!$198:$198,условия!$8:$8,"&lt;="&amp;BJ$9,условия!$9:$9,"&gt;="&amp;BJ$9)/DAY(EOMONTH(BJ$9,0)))*2*BJ155-BI157))))</f>
        <v>76.664002491657442</v>
      </c>
      <c r="BK157" s="33">
        <f>IF(BK$9="",0,IF(OR(BK$9="",DAY(EOMONTH(BK$9,0))=0),0,IF((BK155-((SUMIFS(условия!$198:$198,условия!$8:$8,"&lt;="&amp;BK$9,условия!$9:$9,"&gt;="&amp;BK$9)/DAY(EOMONTH(BK$9,0)))*2*BK155-BJ157))&lt;0,BJ157+BK155,IF((SUMIFS(условия!$198:$198,условия!$8:$8,"&lt;="&amp;BK$9,условия!$9:$9,"&gt;="&amp;BK$9)/DAY(EOMONTH(BK$9,0)))*2*BK155-BJ157&lt;0,0,(SUMIFS(условия!$198:$198,условия!$8:$8,"&lt;="&amp;BK$9,условия!$9:$9,"&gt;="&amp;BK$9)/DAY(EOMONTH(BK$9,0)))*2*BK155-BJ157))))</f>
        <v>91.587455572858801</v>
      </c>
      <c r="BL157" s="33">
        <f>IF(BL$9="",0,IF(OR(BL$9="",DAY(EOMONTH(BL$9,0))=0),0,IF((BL155-((SUMIFS(условия!$198:$198,условия!$8:$8,"&lt;="&amp;BL$9,условия!$9:$9,"&gt;="&amp;BL$9)/DAY(EOMONTH(BL$9,0)))*2*BL155-BK157))&lt;0,BK157+BL155,IF((SUMIFS(условия!$198:$198,условия!$8:$8,"&lt;="&amp;BL$9,условия!$9:$9,"&gt;="&amp;BL$9)/DAY(EOMONTH(BL$9,0)))*2*BL155-BK157&lt;0,0,(SUMIFS(условия!$198:$198,условия!$8:$8,"&lt;="&amp;BL$9,условия!$9:$9,"&gt;="&amp;BL$9)/DAY(EOMONTH(BL$9,0)))*2*BL155-BK157))))</f>
        <v>169.20230442714131</v>
      </c>
      <c r="BM157" s="33">
        <f>IF(BM$9="",0,IF(OR(BM$9="",DAY(EOMONTH(BM$9,0))=0),0,IF((BM155-((SUMIFS(условия!$198:$198,условия!$8:$8,"&lt;="&amp;BM$9,условия!$9:$9,"&gt;="&amp;BM$9)/DAY(EOMONTH(BM$9,0)))*2*BM155-BL157))&lt;0,BL157+BM155,IF((SUMIFS(условия!$198:$198,условия!$8:$8,"&lt;="&amp;BM$9,условия!$9:$9,"&gt;="&amp;BM$9)/DAY(EOMONTH(BM$9,0)))*2*BM155-BL157&lt;0,0,(SUMIFS(условия!$198:$198,условия!$8:$8,"&lt;="&amp;BM$9,условия!$9:$9,"&gt;="&amp;BM$9)/DAY(EOMONTH(BM$9,0)))*2*BM155-BL157))))</f>
        <v>167.30061170189117</v>
      </c>
      <c r="BN157" s="33">
        <f>IF(BN$9="",0,IF(OR(BN$9="",DAY(EOMONTH(BN$9,0))=0),0,IF((BN155-((SUMIFS(условия!$198:$198,условия!$8:$8,"&lt;="&amp;BN$9,условия!$9:$9,"&gt;="&amp;BN$9)/DAY(EOMONTH(BN$9,0)))*2*BN155-BM157))&lt;0,BM157+BN155,IF((SUMIFS(условия!$198:$198,условия!$8:$8,"&lt;="&amp;BN$9,условия!$9:$9,"&gt;="&amp;BN$9)/DAY(EOMONTH(BN$9,0)))*2*BN155-BM157&lt;0,0,(SUMIFS(условия!$198:$198,условия!$8:$8,"&lt;="&amp;BN$9,условия!$9:$9,"&gt;="&amp;BN$9)/DAY(EOMONTH(BN$9,0)))*2*BN155-BM157))))</f>
        <v>267.34898829810908</v>
      </c>
      <c r="BO157" s="33">
        <f>IF(BO$9="",0,IF(OR(BO$9="",DAY(EOMONTH(BO$9,0))=0),0,IF((BO155-((SUMIFS(условия!$198:$198,условия!$8:$8,"&lt;="&amp;BO$9,условия!$9:$9,"&gt;="&amp;BO$9)/DAY(EOMONTH(BO$9,0)))*2*BO155-BN157))&lt;0,BN157+BO155,IF((SUMIFS(условия!$198:$198,условия!$8:$8,"&lt;="&amp;BO$9,условия!$9:$9,"&gt;="&amp;BO$9)/DAY(EOMONTH(BO$9,0)))*2*BO155-BN157&lt;0,0,(SUMIFS(условия!$198:$198,условия!$8:$8,"&lt;="&amp;BO$9,условия!$9:$9,"&gt;="&amp;BO$9)/DAY(EOMONTH(BO$9,0)))*2*BO155-BN157))))</f>
        <v>97.195837508342777</v>
      </c>
      <c r="BP157" s="33">
        <f>IF(BP$9="",0,IF(OR(BP$9="",DAY(EOMONTH(BP$9,0))=0),0,IF((BP155-((SUMIFS(условия!$198:$198,условия!$8:$8,"&lt;="&amp;BP$9,условия!$9:$9,"&gt;="&amp;BP$9)/DAY(EOMONTH(BP$9,0)))*2*BP155-BO157))&lt;0,BO157+BP155,IF((SUMIFS(условия!$198:$198,условия!$8:$8,"&lt;="&amp;BP$9,условия!$9:$9,"&gt;="&amp;BP$9)/DAY(EOMONTH(BP$9,0)))*2*BP155-BO157&lt;0,0,(SUMIFS(условия!$198:$198,условия!$8:$8,"&lt;="&amp;BP$9,условия!$9:$9,"&gt;="&amp;BP$9)/DAY(EOMONTH(BP$9,0)))*2*BP155-BO157))))</f>
        <v>241.2299524271412</v>
      </c>
      <c r="BQ157" s="33">
        <f>IF(BQ$9="",0,IF(OR(BQ$9="",DAY(EOMONTH(BQ$9,0))=0),0,IF((BQ155-((SUMIFS(условия!$198:$198,условия!$8:$8,"&lt;="&amp;BQ$9,условия!$9:$9,"&gt;="&amp;BQ$9)/DAY(EOMONTH(BQ$9,0)))*2*BQ155-BP157))&lt;0,BP157+BQ155,IF((SUMIFS(условия!$198:$198,условия!$8:$8,"&lt;="&amp;BQ$9,условия!$9:$9,"&gt;="&amp;BQ$9)/DAY(EOMONTH(BQ$9,0)))*2*BQ155-BP157&lt;0,0,(SUMIFS(условия!$198:$198,условия!$8:$8,"&lt;="&amp;BQ$9,условия!$9:$9,"&gt;="&amp;BQ$9)/DAY(EOMONTH(BQ$9,0)))*2*BQ155-BP157))))</f>
        <v>195.90335957285907</v>
      </c>
      <c r="BR157" s="33">
        <f>IF(BR$9="",0,IF(OR(BR$9="",DAY(EOMONTH(BR$9,0))=0),0,IF((BR155-((SUMIFS(условия!$198:$198,условия!$8:$8,"&lt;="&amp;BR$9,условия!$9:$9,"&gt;="&amp;BR$9)/DAY(EOMONTH(BR$9,0)))*2*BR155-BQ157))&lt;0,BQ157+BR155,IF((SUMIFS(условия!$198:$198,условия!$8:$8,"&lt;="&amp;BR$9,условия!$9:$9,"&gt;="&amp;BR$9)/DAY(EOMONTH(BR$9,0)))*2*BR155-BQ157&lt;0,0,(SUMIFS(условия!$198:$198,условия!$8:$8,"&lt;="&amp;BR$9,условия!$9:$9,"&gt;="&amp;BR$9)/DAY(EOMONTH(BR$9,0)))*2*BR155-BQ157))))</f>
        <v>255.33102700778619</v>
      </c>
      <c r="BS157" s="33">
        <f>IF(BS$9="",0,IF(OR(BS$9="",DAY(EOMONTH(BS$9,0))=0),0,IF((BS155-((SUMIFS(условия!$198:$198,условия!$8:$8,"&lt;="&amp;BS$9,условия!$9:$9,"&gt;="&amp;BS$9)/DAY(EOMONTH(BS$9,0)))*2*BS155-BR157))&lt;0,BR157+BS155,IF((SUMIFS(условия!$198:$198,условия!$8:$8,"&lt;="&amp;BS$9,условия!$9:$9,"&gt;="&amp;BS$9)/DAY(EOMONTH(BS$9,0)))*2*BS155-BR157&lt;0,0,(SUMIFS(условия!$198:$198,условия!$8:$8,"&lt;="&amp;BS$9,условия!$9:$9,"&gt;="&amp;BS$9)/DAY(EOMONTH(BS$9,0)))*2*BS155-BR157))))</f>
        <v>210.94450579221393</v>
      </c>
      <c r="BT157" s="33">
        <f>IF(BT$9="",0,IF(OR(BT$9="",DAY(EOMONTH(BT$9,0))=0),0,IF((BT155-((SUMIFS(условия!$198:$198,условия!$8:$8,"&lt;="&amp;BT$9,условия!$9:$9,"&gt;="&amp;BT$9)/DAY(EOMONTH(BT$9,0)))*2*BT155-BS157))&lt;0,BS157+BT155,IF((SUMIFS(условия!$198:$198,условия!$8:$8,"&lt;="&amp;BT$9,условия!$9:$9,"&gt;="&amp;BT$9)/DAY(EOMONTH(BT$9,0)))*2*BT155-BS157&lt;0,0,(SUMIFS(условия!$198:$198,условия!$8:$8,"&lt;="&amp;BT$9,условия!$9:$9,"&gt;="&amp;BT$9)/DAY(EOMONTH(BT$9,0)))*2*BT155-BS157))))</f>
        <v>127.48128414327005</v>
      </c>
      <c r="BU157" s="33">
        <f>IF(BU$9="",0,IF(OR(BU$9="",DAY(EOMONTH(BU$9,0))=0),0,IF((BU155-((SUMIFS(условия!$198:$198,условия!$8:$8,"&lt;="&amp;BU$9,условия!$9:$9,"&gt;="&amp;BU$9)/DAY(EOMONTH(BU$9,0)))*2*BU155-BT157))&lt;0,BT157+BU155,IF((SUMIFS(условия!$198:$198,условия!$8:$8,"&lt;="&amp;BU$9,условия!$9:$9,"&gt;="&amp;BU$9)/DAY(EOMONTH(BU$9,0)))*2*BU155-BT157&lt;0,0,(SUMIFS(условия!$198:$198,условия!$8:$8,"&lt;="&amp;BU$9,условия!$9:$9,"&gt;="&amp;BU$9)/DAY(EOMONTH(BU$9,0)))*2*BU155-BT157))))</f>
        <v>163.94092385673002</v>
      </c>
      <c r="BV157" s="33">
        <f>IF(BV$9="",0,IF(OR(BV$9="",DAY(EOMONTH(BV$9,0))=0),0,IF((BV155-((SUMIFS(условия!$198:$198,условия!$8:$8,"&lt;="&amp;BV$9,условия!$9:$9,"&gt;="&amp;BV$9)/DAY(EOMONTH(BV$9,0)))*2*BV155-BU157))&lt;0,BU157+BV155,IF((SUMIFS(условия!$198:$198,условия!$8:$8,"&lt;="&amp;BV$9,условия!$9:$9,"&gt;="&amp;BV$9)/DAY(EOMONTH(BV$9,0)))*2*BV155-BU157&lt;0,0,(SUMIFS(условия!$198:$198,условия!$8:$8,"&lt;="&amp;BV$9,условия!$9:$9,"&gt;="&amp;BV$9)/DAY(EOMONTH(BV$9,0)))*2*BV155-BU157))))</f>
        <v>118.08056775617331</v>
      </c>
      <c r="BW157" s="33">
        <f>IF(BW$9="",0,IF(OR(BW$9="",DAY(EOMONTH(BW$9,0))=0),0,IF((BW155-((SUMIFS(условия!$198:$198,условия!$8:$8,"&lt;="&amp;BW$9,условия!$9:$9,"&gt;="&amp;BW$9)/DAY(EOMONTH(BW$9,0)))*2*BW155-BV157))&lt;0,BV157+BW155,IF((SUMIFS(условия!$198:$198,условия!$8:$8,"&lt;="&amp;BW$9,условия!$9:$9,"&gt;="&amp;BW$9)/DAY(EOMONTH(BW$9,0)))*2*BW155-BV157&lt;0,0,(SUMIFS(условия!$198:$198,условия!$8:$8,"&lt;="&amp;BW$9,условия!$9:$9,"&gt;="&amp;BW$9)/DAY(EOMONTH(BW$9,0)))*2*BW155-BV157))))</f>
        <v>220.34522217931067</v>
      </c>
      <c r="BX157" s="33">
        <f>IF(BX$9="",0,IF(OR(BX$9="",DAY(EOMONTH(BX$9,0))=0),0,IF((BX155-((SUMIFS(условия!$198:$198,условия!$8:$8,"&lt;="&amp;BX$9,условия!$9:$9,"&gt;="&amp;BX$9)/DAY(EOMONTH(BX$9,0)))*2*BX155-BW157))&lt;0,BW157+BX155,IF((SUMIFS(условия!$198:$198,условия!$8:$8,"&lt;="&amp;BX$9,условия!$9:$9,"&gt;="&amp;BX$9)/DAY(EOMONTH(BX$9,0)))*2*BX155-BW157&lt;0,0,(SUMIFS(условия!$198:$198,условия!$8:$8,"&lt;="&amp;BX$9,условия!$9:$9,"&gt;="&amp;BX$9)/DAY(EOMONTH(BX$9,0)))*2*BX155-BW157))))</f>
        <v>304.21475222068943</v>
      </c>
      <c r="BY157" s="33">
        <f>IF(BY$9="",0,IF(OR(BY$9="",DAY(EOMONTH(BY$9,0))=0),0,IF((BY155-((SUMIFS(условия!$198:$198,условия!$8:$8,"&lt;="&amp;BY$9,условия!$9:$9,"&gt;="&amp;BY$9)/DAY(EOMONTH(BY$9,0)))*2*BY155-BX157))&lt;0,BX157+BY155,IF((SUMIFS(условия!$198:$198,условия!$8:$8,"&lt;="&amp;BY$9,условия!$9:$9,"&gt;="&amp;BY$9)/DAY(EOMONTH(BY$9,0)))*2*BY155-BX157&lt;0,0,(SUMIFS(условия!$198:$198,условия!$8:$8,"&lt;="&amp;BY$9,условия!$9:$9,"&gt;="&amp;BY$9)/DAY(EOMONTH(BY$9,0)))*2*BY155-BX157))))</f>
        <v>372.63682765027852</v>
      </c>
      <c r="BZ157" s="33">
        <f>IF(BZ$9="",0,IF(OR(BZ$9="",DAY(EOMONTH(BZ$9,0))=0),0,IF((BZ155-((SUMIFS(условия!$198:$198,условия!$8:$8,"&lt;="&amp;BZ$9,условия!$9:$9,"&gt;="&amp;BZ$9)/DAY(EOMONTH(BZ$9,0)))*2*BZ155-BY157))&lt;0,BY157+BZ155,IF((SUMIFS(условия!$198:$198,условия!$8:$8,"&lt;="&amp;BZ$9,условия!$9:$9,"&gt;="&amp;BZ$9)/DAY(EOMONTH(BZ$9,0)))*2*BZ155-BY157&lt;0,0,(SUMIFS(условия!$198:$198,условия!$8:$8,"&lt;="&amp;BZ$9,условия!$9:$9,"&gt;="&amp;BZ$9)/DAY(EOMONTH(BZ$9,0)))*2*BZ155-BY157))))</f>
        <v>501.6297963497218</v>
      </c>
      <c r="CA157" s="33">
        <f>IF(CA$9="",0,IF(OR(CA$9="",DAY(EOMONTH(CA$9,0))=0),0,IF((CA155-((SUMIFS(условия!$198:$198,условия!$8:$8,"&lt;="&amp;CA$9,условия!$9:$9,"&gt;="&amp;CA$9)/DAY(EOMONTH(CA$9,0)))*2*CA155-BZ157))&lt;0,BZ157+CA155,IF((SUMIFS(условия!$198:$198,условия!$8:$8,"&lt;="&amp;CA$9,условия!$9:$9,"&gt;="&amp;CA$9)/DAY(EOMONTH(CA$9,0)))*2*CA155-BZ157&lt;0,0,(SUMIFS(условия!$198:$198,условия!$8:$8,"&lt;="&amp;CA$9,условия!$9:$9,"&gt;="&amp;CA$9)/DAY(EOMONTH(CA$9,0)))*2*CA155-BZ157))))</f>
        <v>231.6260818438268</v>
      </c>
      <c r="CB157" s="33">
        <f>IF(CB$9="",0,IF(OR(CB$9="",DAY(EOMONTH(CB$9,0))=0),0,IF((CB155-((SUMIFS(условия!$198:$198,условия!$8:$8,"&lt;="&amp;CB$9,условия!$9:$9,"&gt;="&amp;CB$9)/DAY(EOMONTH(CB$9,0)))*2*CB155-CA157))&lt;0,CA157+CB155,IF((SUMIFS(условия!$198:$198,условия!$8:$8,"&lt;="&amp;CB$9,условия!$9:$9,"&gt;="&amp;CB$9)/DAY(EOMONTH(CB$9,0)))*2*CB155-CA157&lt;0,0,(SUMIFS(условия!$198:$198,условия!$8:$8,"&lt;="&amp;CB$9,условия!$9:$9,"&gt;="&amp;CB$9)/DAY(EOMONTH(CB$9,0)))*2*CB155-CA157))))</f>
        <v>243.01608854068945</v>
      </c>
      <c r="CC157" s="33">
        <f>IF(CC$9="",0,IF(OR(CC$9="",DAY(EOMONTH(CC$9,0))=0),0,IF((CC155-((SUMIFS(условия!$198:$198,условия!$8:$8,"&lt;="&amp;CC$9,условия!$9:$9,"&gt;="&amp;CC$9)/DAY(EOMONTH(CC$9,0)))*2*CC155-CB157))&lt;0,CB157+CC155,IF((SUMIFS(условия!$198:$198,условия!$8:$8,"&lt;="&amp;CC$9,условия!$9:$9,"&gt;="&amp;CC$9)/DAY(EOMONTH(CC$9,0)))*2*CC155-CB157&lt;0,0,(SUMIFS(условия!$198:$198,условия!$8:$8,"&lt;="&amp;CC$9,условия!$9:$9,"&gt;="&amp;CC$9)/DAY(EOMONTH(CC$9,0)))*2*CC155-CB157))))</f>
        <v>370.06338153931085</v>
      </c>
      <c r="CD157" s="33">
        <f>IF(CD$9="",0,IF(OR(CD$9="",DAY(EOMONTH(CD$9,0))=0),0,IF((CD155-((SUMIFS(условия!$198:$198,условия!$8:$8,"&lt;="&amp;CD$9,условия!$9:$9,"&gt;="&amp;CD$9)/DAY(EOMONTH(CD$9,0)))*2*CD155-CC157))&lt;0,CC157+CD155,IF((SUMIFS(условия!$198:$198,условия!$8:$8,"&lt;="&amp;CD$9,условия!$9:$9,"&gt;="&amp;CD$9)/DAY(EOMONTH(CD$9,0)))*2*CD155-CC157&lt;0,0,(SUMIFS(условия!$198:$198,условия!$8:$8,"&lt;="&amp;CD$9,условия!$9:$9,"&gt;="&amp;CD$9)/DAY(EOMONTH(CD$9,0)))*2*CD155-CC157))))</f>
        <v>262.79284564004422</v>
      </c>
      <c r="CE157" s="33">
        <f>IF(CE$9="",0,IF(OR(CE$9="",DAY(EOMONTH(CE$9,0))=0),0,IF((CE155-((SUMIFS(условия!$198:$198,условия!$8:$8,"&lt;="&amp;CE$9,условия!$9:$9,"&gt;="&amp;CE$9)/DAY(EOMONTH(CE$9,0)))*2*CE155-CD157))&lt;0,CD157+CE155,IF((SUMIFS(условия!$198:$198,условия!$8:$8,"&lt;="&amp;CE$9,условия!$9:$9,"&gt;="&amp;CE$9)/DAY(EOMONTH(CE$9,0)))*2*CE155-CD157&lt;0,0,(SUMIFS(условия!$198:$198,условия!$8:$8,"&lt;="&amp;CE$9,условия!$9:$9,"&gt;="&amp;CE$9)/DAY(EOMONTH(CE$9,0)))*2*CE155-CD157))))</f>
        <v>391.15858911195608</v>
      </c>
      <c r="CF157" s="33">
        <f>IF(CF$9="",0,IF(OR(CF$9="",DAY(EOMONTH(CF$9,0))=0),0,IF((CF155-((SUMIFS(условия!$198:$198,условия!$8:$8,"&lt;="&amp;CF$9,условия!$9:$9,"&gt;="&amp;CF$9)/DAY(EOMONTH(CF$9,0)))*2*CF155-CE157))&lt;0,CE157+CF155,IF((SUMIFS(условия!$198:$198,условия!$8:$8,"&lt;="&amp;CF$9,условия!$9:$9,"&gt;="&amp;CF$9)/DAY(EOMONTH(CF$9,0)))*2*CF155-CE157&lt;0,0,(SUMIFS(условия!$198:$198,условия!$8:$8,"&lt;="&amp;CF$9,условия!$9:$9,"&gt;="&amp;CF$9)/DAY(EOMONTH(CF$9,0)))*2*CF155-CE157))))</f>
        <v>83.483581272560173</v>
      </c>
      <c r="CG157" s="33">
        <f>IF(CG$9="",0,IF(OR(CG$9="",DAY(EOMONTH(CG$9,0))=0),0,IF((CG155-((SUMIFS(условия!$198:$198,условия!$8:$8,"&lt;="&amp;CG$9,условия!$9:$9,"&gt;="&amp;CG$9)/DAY(EOMONTH(CG$9,0)))*2*CG155-CF157))&lt;0,CF157+CG155,IF((SUMIFS(условия!$198:$198,условия!$8:$8,"&lt;="&amp;CG$9,условия!$9:$9,"&gt;="&amp;CG$9)/DAY(EOMONTH(CG$9,0)))*2*CG155-CF157&lt;0,0,(SUMIFS(условия!$198:$198,условия!$8:$8,"&lt;="&amp;CG$9,условия!$9:$9,"&gt;="&amp;CG$9)/DAY(EOMONTH(CG$9,0)))*2*CG155-CF157))))</f>
        <v>390.02331631256027</v>
      </c>
      <c r="CH157" s="33">
        <f>IF(CH$9="",0,IF(OR(CH$9="",DAY(EOMONTH(CH$9,0))=0),0,IF((CH155-((SUMIFS(условия!$198:$198,условия!$8:$8,"&lt;="&amp;CH$9,условия!$9:$9,"&gt;="&amp;CH$9)/DAY(EOMONTH(CH$9,0)))*2*CH155-CG157))&lt;0,CG157+CH155,IF((SUMIFS(условия!$198:$198,условия!$8:$8,"&lt;="&amp;CH$9,условия!$9:$9,"&gt;="&amp;CH$9)/DAY(EOMONTH(CH$9,0)))*2*CH155-CG157&lt;0,0,(SUMIFS(условия!$198:$198,условия!$8:$8,"&lt;="&amp;CH$9,условия!$9:$9,"&gt;="&amp;CH$9)/DAY(EOMONTH(CH$9,0)))*2*CH155-CG157))))</f>
        <v>5.5118256745366239</v>
      </c>
      <c r="CI157" s="33">
        <f>IF(CI$9="",0,IF(OR(CI$9="",DAY(EOMONTH(CI$9,0))=0),0,IF((CI155-((SUMIFS(условия!$198:$198,условия!$8:$8,"&lt;="&amp;CI$9,условия!$9:$9,"&gt;="&amp;CI$9)/DAY(EOMONTH(CI$9,0)))*2*CI155-CH157))&lt;0,CH157+CI155,IF((SUMIFS(условия!$198:$198,условия!$8:$8,"&lt;="&amp;CI$9,условия!$9:$9,"&gt;="&amp;CI$9)/DAY(EOMONTH(CI$9,0)))*2*CI155-CH157&lt;0,0,(SUMIFS(условия!$198:$198,условия!$8:$8,"&lt;="&amp;CI$9,условия!$9:$9,"&gt;="&amp;CI$9)/DAY(EOMONTH(CI$9,0)))*2*CI155-CH157))))</f>
        <v>373.3595077225367</v>
      </c>
      <c r="CJ157" s="33">
        <f>IF(CJ$9="",0,IF(OR(CJ$9="",DAY(EOMONTH(CJ$9,0))=0),0,IF((CJ155-((SUMIFS(условия!$198:$198,условия!$8:$8,"&lt;="&amp;CJ$9,условия!$9:$9,"&gt;="&amp;CJ$9)/DAY(EOMONTH(CJ$9,0)))*2*CJ155-CI157))&lt;0,CI157+CJ155,IF((SUMIFS(условия!$198:$198,условия!$8:$8,"&lt;="&amp;CJ$9,условия!$9:$9,"&gt;="&amp;CJ$9)/DAY(EOMONTH(CJ$9,0)))*2*CJ155-CI157&lt;0,0,(SUMIFS(условия!$198:$198,условия!$8:$8,"&lt;="&amp;CJ$9,условия!$9:$9,"&gt;="&amp;CJ$9)/DAY(EOMONTH(CJ$9,0)))*2*CJ155-CI157))))</f>
        <v>362.33585637346346</v>
      </c>
      <c r="CK157" s="33">
        <f>IF(CK$9="",0,IF(OR(CK$9="",DAY(EOMONTH(CK$9,0))=0),0,IF((CK155-((SUMIFS(условия!$198:$198,условия!$8:$8,"&lt;="&amp;CK$9,условия!$9:$9,"&gt;="&amp;CK$9)/DAY(EOMONTH(CK$9,0)))*2*CK155-CJ157))&lt;0,CJ157+CK155,IF((SUMIFS(условия!$198:$198,условия!$8:$8,"&lt;="&amp;CK$9,условия!$9:$9,"&gt;="&amp;CK$9)/DAY(EOMONTH(CK$9,0)))*2*CK155-CJ157&lt;0,0,(SUMIFS(условия!$198:$198,условия!$8:$8,"&lt;="&amp;CK$9,условия!$9:$9,"&gt;="&amp;CK$9)/DAY(EOMONTH(CK$9,0)))*2*CK155-CJ157))))</f>
        <v>586.94848439556904</v>
      </c>
      <c r="CL157" s="33">
        <f>IF(CL$9="",0,IF(OR(CL$9="",DAY(EOMONTH(CL$9,0))=0),0,IF((CL155-((SUMIFS(условия!$198:$198,условия!$8:$8,"&lt;="&amp;CL$9,условия!$9:$9,"&gt;="&amp;CL$9)/DAY(EOMONTH(CL$9,0)))*2*CL155-CK157))&lt;0,CK157+CL155,IF((SUMIFS(условия!$198:$198,условия!$8:$8,"&lt;="&amp;CL$9,условия!$9:$9,"&gt;="&amp;CL$9)/DAY(EOMONTH(CL$9,0)))*2*CL155-CK157&lt;0,0,(SUMIFS(условия!$198:$198,условия!$8:$8,"&lt;="&amp;CL$9,условия!$9:$9,"&gt;="&amp;CL$9)/DAY(EOMONTH(CL$9,0)))*2*CL155-CK157))))</f>
        <v>639.21045576443134</v>
      </c>
      <c r="CM157" s="33">
        <f>IF(CM$9="",0,IF(OR(CM$9="",DAY(EOMONTH(CM$9,0))=0),0,IF((CM155-((SUMIFS(условия!$198:$198,условия!$8:$8,"&lt;="&amp;CM$9,условия!$9:$9,"&gt;="&amp;CM$9)/DAY(EOMONTH(CM$9,0)))*2*CM155-CL157))&lt;0,CL157+CM155,IF((SUMIFS(условия!$198:$198,условия!$8:$8,"&lt;="&amp;CM$9,условия!$9:$9,"&gt;="&amp;CM$9)/DAY(EOMONTH(CM$9,0)))*2*CM155-CL157&lt;0,0,(SUMIFS(условия!$198:$198,условия!$8:$8,"&lt;="&amp;CM$9,условия!$9:$9,"&gt;="&amp;CM$9)/DAY(EOMONTH(CM$9,0)))*2*CM155-CL157))))</f>
        <v>389.18091340202068</v>
      </c>
      <c r="CN157" s="33">
        <f>IF(CN$9="",0,IF(OR(CN$9="",DAY(EOMONTH(CN$9,0))=0),0,IF((CN155-((SUMIFS(условия!$198:$198,условия!$8:$8,"&lt;="&amp;CN$9,условия!$9:$9,"&gt;="&amp;CN$9)/DAY(EOMONTH(CN$9,0)))*2*CN155-CM157))&lt;0,CM157+CN155,IF((SUMIFS(условия!$198:$198,условия!$8:$8,"&lt;="&amp;CN$9,условия!$9:$9,"&gt;="&amp;CN$9)/DAY(EOMONTH(CN$9,0)))*2*CN155-CM157&lt;0,0,(SUMIFS(условия!$198:$198,условия!$8:$8,"&lt;="&amp;CN$9,условия!$9:$9,"&gt;="&amp;CN$9)/DAY(EOMONTH(CN$9,0)))*2*CN155-CM157))))</f>
        <v>255.77403576752806</v>
      </c>
      <c r="CO157" s="33">
        <f>IF(CO$9="",0,IF(OR(CO$9="",DAY(EOMONTH(CO$9,0))=0),0,IF((CO155-((SUMIFS(условия!$198:$198,условия!$8:$8,"&lt;="&amp;CO$9,условия!$9:$9,"&gt;="&amp;CO$9)/DAY(EOMONTH(CO$9,0)))*2*CO155-CN157))&lt;0,CN157+CO155,IF((SUMIFS(условия!$198:$198,условия!$8:$8,"&lt;="&amp;CO$9,условия!$9:$9,"&gt;="&amp;CO$9)/DAY(EOMONTH(CO$9,0)))*2*CO155-CN157&lt;0,0,(SUMIFS(условия!$198:$198,условия!$8:$8,"&lt;="&amp;CO$9,условия!$9:$9,"&gt;="&amp;CO$9)/DAY(EOMONTH(CO$9,0)))*2*CO155-CN157))))</f>
        <v>577.29277357647231</v>
      </c>
      <c r="CP157" s="33">
        <f>IF(CP$9="",0,IF(OR(CP$9="",DAY(EOMONTH(CP$9,0))=0),0,IF((CP155-((SUMIFS(условия!$198:$198,условия!$8:$8,"&lt;="&amp;CP$9,условия!$9:$9,"&gt;="&amp;CP$9)/DAY(EOMONTH(CP$9,0)))*2*CP155-CO157))&lt;0,CO157+CP155,IF((SUMIFS(условия!$198:$198,условия!$8:$8,"&lt;="&amp;CP$9,условия!$9:$9,"&gt;="&amp;CP$9)/DAY(EOMONTH(CP$9,0)))*2*CP155-CO157&lt;0,0,(SUMIFS(условия!$198:$198,условия!$8:$8,"&lt;="&amp;CP$9,условия!$9:$9,"&gt;="&amp;CP$9)/DAY(EOMONTH(CP$9,0)))*2*CP155-CO157))))</f>
        <v>282.64715864959271</v>
      </c>
      <c r="CQ157" s="33">
        <f>IF(CQ$9="",0,IF(OR(CQ$9="",DAY(EOMONTH(CQ$9,0))=0),0,IF((CQ155-((SUMIFS(условия!$198:$198,условия!$8:$8,"&lt;="&amp;CQ$9,условия!$9:$9,"&gt;="&amp;CQ$9)/DAY(EOMONTH(CQ$9,0)))*2*CQ155-CP157))&lt;0,CP157+CQ155,IF((SUMIFS(условия!$198:$198,условия!$8:$8,"&lt;="&amp;CQ$9,условия!$9:$9,"&gt;="&amp;CQ$9)/DAY(EOMONTH(CQ$9,0)))*2*CQ155-CP157&lt;0,0,(SUMIFS(условия!$198:$198,условия!$8:$8,"&lt;="&amp;CQ$9,условия!$9:$9,"&gt;="&amp;CQ$9)/DAY(EOMONTH(CQ$9,0)))*2*CQ155-CP157))))</f>
        <v>605.95743798400781</v>
      </c>
      <c r="CR157" s="33">
        <f>IF(CR$9="",0,IF(OR(CR$9="",DAY(EOMONTH(CR$9,0))=0),0,IF((CR155-((SUMIFS(условия!$198:$198,условия!$8:$8,"&lt;="&amp;CR$9,условия!$9:$9,"&gt;="&amp;CR$9)/DAY(EOMONTH(CR$9,0)))*2*CR155-CQ157))&lt;0,CQ157+CR155,IF((SUMIFS(условия!$198:$198,условия!$8:$8,"&lt;="&amp;CR$9,условия!$9:$9,"&gt;="&amp;CR$9)/DAY(EOMONTH(CR$9,0)))*2*CR155-CQ157&lt;0,0,(SUMIFS(условия!$198:$198,условия!$8:$8,"&lt;="&amp;CR$9,условия!$9:$9,"&gt;="&amp;CR$9)/DAY(EOMONTH(CR$9,0)))*2*CR155-CQ157))))</f>
        <v>38.99751118554093</v>
      </c>
      <c r="CS157" s="33">
        <f>IF(CS$9="",0,IF(OR(CS$9="",DAY(EOMONTH(CS$9,0))=0),0,IF((CS155-((SUMIFS(условия!$198:$198,условия!$8:$8,"&lt;="&amp;CS$9,условия!$9:$9,"&gt;="&amp;CS$9)/DAY(EOMONTH(CS$9,0)))*2*CS155-CR157))&lt;0,CR157+CS155,IF((SUMIFS(условия!$198:$198,условия!$8:$8,"&lt;="&amp;CS$9,условия!$9:$9,"&gt;="&amp;CS$9)/DAY(EOMONTH(CS$9,0)))*2*CS155-CR157&lt;0,0,(SUMIFS(условия!$198:$198,условия!$8:$8,"&lt;="&amp;CS$9,условия!$9:$9,"&gt;="&amp;CS$9)/DAY(EOMONTH(CS$9,0)))*2*CS155-CR157))))</f>
        <v>455.53091585754112</v>
      </c>
      <c r="CT157" s="33">
        <f>IF(CT$9="",0,IF(OR(CT$9="",DAY(EOMONTH(CT$9,0))=0),0,IF((CT155-((SUMIFS(условия!$198:$198,условия!$8:$8,"&lt;="&amp;CT$9,условия!$9:$9,"&gt;="&amp;CT$9)/DAY(EOMONTH(CT$9,0)))*2*CT155-CS157))&lt;0,CS157+CT155,IF((SUMIFS(условия!$198:$198,условия!$8:$8,"&lt;="&amp;CT$9,условия!$9:$9,"&gt;="&amp;CT$9)/DAY(EOMONTH(CT$9,0)))*2*CT155-CS157&lt;0,0,(SUMIFS(условия!$198:$198,условия!$8:$8,"&lt;="&amp;CT$9,условия!$9:$9,"&gt;="&amp;CT$9)/DAY(EOMONTH(CT$9,0)))*2*CT155-CS157))))</f>
        <v>81.931541783749481</v>
      </c>
      <c r="CU157" s="33">
        <f>IF(CU$9="",0,IF(OR(CU$9="",DAY(EOMONTH(CU$9,0))=0),0,IF((CU155-((SUMIFS(условия!$198:$198,условия!$8:$8,"&lt;="&amp;CU$9,условия!$9:$9,"&gt;="&amp;CU$9)/DAY(EOMONTH(CU$9,0)))*2*CU155-CT157))&lt;0,CT157+CU155,IF((SUMIFS(условия!$198:$198,условия!$8:$8,"&lt;="&amp;CU$9,условия!$9:$9,"&gt;="&amp;CU$9)/DAY(EOMONTH(CU$9,0)))*2*CU155-CT157&lt;0,0,(SUMIFS(условия!$198:$198,условия!$8:$8,"&lt;="&amp;CU$9,условия!$9:$9,"&gt;="&amp;CU$9)/DAY(EOMONTH(CU$9,0)))*2*CU155-CT157))))</f>
        <v>581.77162739014977</v>
      </c>
      <c r="CV157" s="33">
        <f>IF(CV$9="",0,IF(OR(CV$9="",DAY(EOMONTH(CV$9,0))=0),0,IF((CV155-((SUMIFS(условия!$198:$198,условия!$8:$8,"&lt;="&amp;CV$9,условия!$9:$9,"&gt;="&amp;CV$9)/DAY(EOMONTH(CV$9,0)))*2*CV155-CU157))&lt;0,CU157+CV155,IF((SUMIFS(условия!$198:$198,условия!$8:$8,"&lt;="&amp;CV$9,условия!$9:$9,"&gt;="&amp;CV$9)/DAY(EOMONTH(CV$9,0)))*2*CV155-CU157&lt;0,0,(SUMIFS(условия!$198:$198,условия!$8:$8,"&lt;="&amp;CV$9,условия!$9:$9,"&gt;="&amp;CV$9)/DAY(EOMONTH(CV$9,0)))*2*CV155-CU157))))</f>
        <v>417.9085438226507</v>
      </c>
      <c r="CW157" s="33">
        <f>IF(CW$9="",0,IF(OR(CW$9="",DAY(EOMONTH(CW$9,0))=0),0,IF((CW155-((SUMIFS(условия!$198:$198,условия!$8:$8,"&lt;="&amp;CW$9,условия!$9:$9,"&gt;="&amp;CW$9)/DAY(EOMONTH(CW$9,0)))*2*CW155-CV157))&lt;0,CV157+CW155,IF((SUMIFS(условия!$198:$198,условия!$8:$8,"&lt;="&amp;CW$9,условия!$9:$9,"&gt;="&amp;CW$9)/DAY(EOMONTH(CW$9,0)))*2*CW155-CV157&lt;0,0,(SUMIFS(условия!$198:$198,условия!$8:$8,"&lt;="&amp;CW$9,условия!$9:$9,"&gt;="&amp;CW$9)/DAY(EOMONTH(CW$9,0)))*2*CW155-CV157))))</f>
        <v>872.00135451644678</v>
      </c>
      <c r="CX157" s="33">
        <f>IF(CX$9="",0,IF(OR(CX$9="",DAY(EOMONTH(CX$9,0))=0),0,IF((CX155-((SUMIFS(условия!$198:$198,условия!$8:$8,"&lt;="&amp;CX$9,условия!$9:$9,"&gt;="&amp;CX$9)/DAY(EOMONTH(CX$9,0)))*2*CX155-CW157))&lt;0,CW157+CX155,IF((SUMIFS(условия!$198:$198,условия!$8:$8,"&lt;="&amp;CX$9,условия!$9:$9,"&gt;="&amp;CX$9)/DAY(EOMONTH(CX$9,0)))*2*CX155-CW157&lt;0,0,(SUMIFS(условия!$198:$198,условия!$8:$8,"&lt;="&amp;CX$9,условия!$9:$9,"&gt;="&amp;CX$9)/DAY(EOMONTH(CX$9,0)))*2*CX155-CW157))))</f>
        <v>909.79300385270312</v>
      </c>
      <c r="CY157" s="33">
        <f>IF(CY$9="",0,IF(OR(CY$9="",DAY(EOMONTH(CY$9,0))=0),0,IF((CY155-((SUMIFS(условия!$198:$198,условия!$8:$8,"&lt;="&amp;CY$9,условия!$9:$9,"&gt;="&amp;CY$9)/DAY(EOMONTH(CY$9,0)))*2*CY155-CX157))&lt;0,CX157+CY155,IF((SUMIFS(условия!$198:$198,условия!$8:$8,"&lt;="&amp;CY$9,условия!$9:$9,"&gt;="&amp;CY$9)/DAY(EOMONTH(CY$9,0)))*2*CY155-CX157&lt;0,0,(SUMIFS(условия!$198:$198,условия!$8:$8,"&lt;="&amp;CY$9,условия!$9:$9,"&gt;="&amp;CY$9)/DAY(EOMONTH(CY$9,0)))*2*CY155-CX157))))</f>
        <v>487.6093860146525</v>
      </c>
      <c r="CZ157" s="33">
        <f>IF(CZ$9="",0,IF(OR(CZ$9="",DAY(EOMONTH(CZ$9,0))=0),0,IF((CZ155-((SUMIFS(условия!$198:$198,условия!$8:$8,"&lt;="&amp;CZ$9,условия!$9:$9,"&gt;="&amp;CZ$9)/DAY(EOMONTH(CZ$9,0)))*2*CZ155-CY157))&lt;0,CY157+CZ155,IF((SUMIFS(условия!$198:$198,условия!$8:$8,"&lt;="&amp;CZ$9,условия!$9:$9,"&gt;="&amp;CZ$9)/DAY(EOMONTH(CZ$9,0)))*2*CZ155-CY157&lt;0,0,(SUMIFS(условия!$198:$198,условия!$8:$8,"&lt;="&amp;CZ$9,условия!$9:$9,"&gt;="&amp;CZ$9)/DAY(EOMONTH(CZ$9,0)))*2*CZ155-CY157))))</f>
        <v>293.50271909068977</v>
      </c>
      <c r="DA157" s="33">
        <f>IF(DA$9="",0,IF(OR(DA$9="",DAY(EOMONTH(DA$9,0))=0),0,IF((DA155-((SUMIFS(условия!$198:$198,условия!$8:$8,"&lt;="&amp;DA$9,условия!$9:$9,"&gt;="&amp;DA$9)/DAY(EOMONTH(DA$9,0)))*2*DA155-CZ157))&lt;0,CZ157+DA155,IF((SUMIFS(условия!$198:$198,условия!$8:$8,"&lt;="&amp;DA$9,условия!$9:$9,"&gt;="&amp;DA$9)/DAY(EOMONTH(DA$9,0)))*2*DA155-CZ157&lt;0,0,(SUMIFS(условия!$198:$198,условия!$8:$8,"&lt;="&amp;DA$9,условия!$9:$9,"&gt;="&amp;DA$9)/DAY(EOMONTH(DA$9,0)))*2*DA155-CZ157))))</f>
        <v>680.64283727631755</v>
      </c>
      <c r="DB157" s="33">
        <f>IF(DB$9="",0,IF(OR(DB$9="",DAY(EOMONTH(DB$9,0))=0),0,IF((DB155-((SUMIFS(условия!$198:$198,условия!$8:$8,"&lt;="&amp;DB$9,условия!$9:$9,"&gt;="&amp;DB$9)/DAY(EOMONTH(DB$9,0)))*2*DB155-DA157))&lt;0,DA157+DB155,IF((SUMIFS(условия!$198:$198,условия!$8:$8,"&lt;="&amp;DB$9,условия!$9:$9,"&gt;="&amp;DB$9)/DAY(EOMONTH(DB$9,0)))*2*DB155-DA157&lt;0,0,(SUMIFS(условия!$198:$198,условия!$8:$8,"&lt;="&amp;DB$9,условия!$9:$9,"&gt;="&amp;DB$9)/DAY(EOMONTH(DB$9,0)))*2*DB155-DA157))))</f>
        <v>360.83996953080555</v>
      </c>
      <c r="DC157" s="33">
        <f>IF(DC$9="",0,IF(OR(DC$9="",DAY(EOMONTH(DC$9,0))=0),0,IF((DC155-((SUMIFS(условия!$198:$198,условия!$8:$8,"&lt;="&amp;DC$9,условия!$9:$9,"&gt;="&amp;DC$9)/DAY(EOMONTH(DC$9,0)))*2*DC155-DB157))&lt;0,DB157+DC155,IF((SUMIFS(условия!$198:$198,условия!$8:$8,"&lt;="&amp;DC$9,условия!$9:$9,"&gt;="&amp;DC$9)/DAY(EOMONTH(DC$9,0)))*2*DC155-DB157&lt;0,0,(SUMIFS(условия!$198:$198,условия!$8:$8,"&lt;="&amp;DC$9,условия!$9:$9,"&gt;="&amp;DC$9)/DAY(EOMONTH(DC$9,0)))*2*DC155-DB157))))</f>
        <v>715.35893083655492</v>
      </c>
      <c r="DD157" s="33">
        <f>IF(DD$9="",0,IF(OR(DD$9="",DAY(EOMONTH(DD$9,0))=0),0,IF((DD155-((SUMIFS(условия!$198:$198,условия!$8:$8,"&lt;="&amp;DD$9,условия!$9:$9,"&gt;="&amp;DD$9)/DAY(EOMONTH(DD$9,0)))*2*DD155-DC157))&lt;0,DC157+DD155,IF((SUMIFS(условия!$198:$198,условия!$8:$8,"&lt;="&amp;DD$9,условия!$9:$9,"&gt;="&amp;DD$9)/DAY(EOMONTH(DD$9,0)))*2*DD155-DC157&lt;0,0,(SUMIFS(условия!$198:$198,условия!$8:$8,"&lt;="&amp;DD$9,условия!$9:$9,"&gt;="&amp;DD$9)/DAY(EOMONTH(DD$9,0)))*2*DD155-DC157))))</f>
        <v>65.753174268787348</v>
      </c>
      <c r="DE157" s="33">
        <f>IF(DE$9="",0,IF(OR(DE$9="",DAY(EOMONTH(DE$9,0))=0),0,IF((DE155-((SUMIFS(условия!$198:$198,условия!$8:$8,"&lt;="&amp;DE$9,условия!$9:$9,"&gt;="&amp;DE$9)/DAY(EOMONTH(DE$9,0)))*2*DE155-DD157))&lt;0,DD157+DE155,IF((SUMIFS(условия!$198:$198,условия!$8:$8,"&lt;="&amp;DE$9,условия!$9:$9,"&gt;="&amp;DE$9)/DAY(EOMONTH(DE$9,0)))*2*DE155-DD157&lt;0,0,(SUMIFS(условия!$198:$198,условия!$8:$8,"&lt;="&amp;DE$9,условия!$9:$9,"&gt;="&amp;DE$9)/DAY(EOMONTH(DE$9,0)))*2*DE155-DD157))))</f>
        <v>570.22140881598762</v>
      </c>
      <c r="DF157" s="33">
        <f>IF(DF$9="",0,IF(OR(DF$9="",DAY(EOMONTH(DF$9,0))=0),0,IF((DF155-((SUMIFS(условия!$198:$198,условия!$8:$8,"&lt;="&amp;DF$9,условия!$9:$9,"&gt;="&amp;DF$9)/DAY(EOMONTH(DF$9,0)))*2*DF155-DE157))&lt;0,DE157+DF155,IF((SUMIFS(условия!$198:$198,условия!$8:$8,"&lt;="&amp;DF$9,условия!$9:$9,"&gt;="&amp;DF$9)/DAY(EOMONTH(DF$9,0)))*2*DF155-DE157&lt;0,0,(SUMIFS(условия!$198:$198,условия!$8:$8,"&lt;="&amp;DF$9,условия!$9:$9,"&gt;="&amp;DF$9)/DAY(EOMONTH(DF$9,0)))*2*DF155-DE157))))</f>
        <v>80.705345438464292</v>
      </c>
      <c r="DG157" s="33">
        <f>IF(DG$9="",0,IF(OR(DG$9="",DAY(EOMONTH(DG$9,0))=0),0,IF((DG155-((SUMIFS(условия!$198:$198,условия!$8:$8,"&lt;="&amp;DG$9,условия!$9:$9,"&gt;="&amp;DG$9)/DAY(EOMONTH(DG$9,0)))*2*DG155-DF157))&lt;0,DF157+DG155,IF((SUMIFS(условия!$198:$198,условия!$8:$8,"&lt;="&amp;DG$9,условия!$9:$9,"&gt;="&amp;DG$9)/DAY(EOMONTH(DG$9,0)))*2*DG155-DF157&lt;0,0,(SUMIFS(условия!$198:$198,условия!$8:$8,"&lt;="&amp;DG$9,условия!$9:$9,"&gt;="&amp;DG$9)/DAY(EOMONTH(DG$9,0)))*2*DG155-DF157))))</f>
        <v>686.06722689510457</v>
      </c>
      <c r="DH157" s="33">
        <f>IF(DH$9="",0,IF(OR(DH$9="",DAY(EOMONTH(DH$9,0))=0),0,IF((DH155-((SUMIFS(условия!$198:$198,условия!$8:$8,"&lt;="&amp;DH$9,условия!$9:$9,"&gt;="&amp;DH$9)/DAY(EOMONTH(DH$9,0)))*2*DH155-DG157))&lt;0,DG157+DH155,IF((SUMIFS(условия!$198:$198,условия!$8:$8,"&lt;="&amp;DH$9,условия!$9:$9,"&gt;="&amp;DH$9)/DAY(EOMONTH(DH$9,0)))*2*DH155-DG157&lt;0,0,(SUMIFS(условия!$198:$198,условия!$8:$8,"&lt;="&amp;DH$9,условия!$9:$9,"&gt;="&amp;DH$9)/DAY(EOMONTH(DH$9,0)))*2*DH155-DG157))))</f>
        <v>524.65653601817598</v>
      </c>
      <c r="DI157" s="33">
        <f>IF(DI$9="",0,IF(OR(DI$9="",DAY(EOMONTH(DI$9,0))=0),0,IF((DI155-((SUMIFS(условия!$198:$198,условия!$8:$8,"&lt;="&amp;DI$9,условия!$9:$9,"&gt;="&amp;DI$9)/DAY(EOMONTH(DI$9,0)))*2*DI155-DH157))&lt;0,DH157+DI155,IF((SUMIFS(условия!$198:$198,условия!$8:$8,"&lt;="&amp;DI$9,условия!$9:$9,"&gt;="&amp;DI$9)/DAY(EOMONTH(DI$9,0)))*2*DI155-DH157&lt;0,0,(SUMIFS(условия!$198:$198,условия!$8:$8,"&lt;="&amp;DI$9,условия!$9:$9,"&gt;="&amp;DI$9)/DAY(EOMONTH(DI$9,0)))*2*DI155-DH157))))</f>
        <v>1037.5676741925085</v>
      </c>
      <c r="DJ157" s="33">
        <f>IF(DJ$9="",0,IF(OR(DJ$9="",DAY(EOMONTH(DJ$9,0))=0),0,IF((DJ155-((SUMIFS(условия!$198:$198,условия!$8:$8,"&lt;="&amp;DJ$9,условия!$9:$9,"&gt;="&amp;DJ$9)/DAY(EOMONTH(DJ$9,0)))*2*DJ155-DI157))&lt;0,DI157+DJ155,IF((SUMIFS(условия!$198:$198,условия!$8:$8,"&lt;="&amp;DJ$9,условия!$9:$9,"&gt;="&amp;DJ$9)/DAY(EOMONTH(DJ$9,0)))*2*DJ155-DI157&lt;0,0,(SUMIFS(условия!$198:$198,условия!$8:$8,"&lt;="&amp;DJ$9,условия!$9:$9,"&gt;="&amp;DJ$9)/DAY(EOMONTH(DJ$9,0)))*2*DJ155-DI157))))</f>
        <v>980.3052639962923</v>
      </c>
      <c r="DK157" s="33">
        <f>IF(DK$9="",0,IF(OR(DK$9="",DAY(EOMONTH(DK$9,0))=0),0,IF((DK155-((SUMIFS(условия!$198:$198,условия!$8:$8,"&lt;="&amp;DK$9,условия!$9:$9,"&gt;="&amp;DK$9)/DAY(EOMONTH(DK$9,0)))*2*DK155-DJ157))&lt;0,DJ157+DK155,IF((SUMIFS(условия!$198:$198,условия!$8:$8,"&lt;="&amp;DK$9,условия!$9:$9,"&gt;="&amp;DK$9)/DAY(EOMONTH(DK$9,0)))*2*DK155-DJ157&lt;0,0,(SUMIFS(условия!$198:$198,условия!$8:$8,"&lt;="&amp;DK$9,условия!$9:$9,"&gt;="&amp;DK$9)/DAY(EOMONTH(DK$9,0)))*2*DK155-DJ157))))</f>
        <v>712.10429706528271</v>
      </c>
      <c r="DL157" s="33">
        <f>IF(DL$9="",0,IF(OR(DL$9="",DAY(EOMONTH(DL$9,0))=0),0,IF((DL155-((SUMIFS(условия!$198:$198,условия!$8:$8,"&lt;="&amp;DL$9,условия!$9:$9,"&gt;="&amp;DL$9)/DAY(EOMONTH(DL$9,0)))*2*DL155-DK157))&lt;0,DK157+DL155,IF((SUMIFS(условия!$198:$198,условия!$8:$8,"&lt;="&amp;DL$9,условия!$9:$9,"&gt;="&amp;DL$9)/DAY(EOMONTH(DL$9,0)))*2*DL155-DK157&lt;0,0,(SUMIFS(условия!$198:$198,условия!$8:$8,"&lt;="&amp;DL$9,условия!$9:$9,"&gt;="&amp;DL$9)/DAY(EOMONTH(DL$9,0)))*2*DL155-DK157))))</f>
        <v>200.12305425417071</v>
      </c>
      <c r="DM157" s="33">
        <f>IF(DM$9="",0,IF(OR(DM$9="",DAY(EOMONTH(DM$9,0))=0),0,IF((DM155-((SUMIFS(условия!$198:$198,условия!$8:$8,"&lt;="&amp;DM$9,условия!$9:$9,"&gt;="&amp;DM$9)/DAY(EOMONTH(DM$9,0)))*2*DM155-DL157))&lt;0,DL157+DM155,IF((SUMIFS(условия!$198:$198,условия!$8:$8,"&lt;="&amp;DM$9,условия!$9:$9,"&gt;="&amp;DM$9)/DAY(EOMONTH(DM$9,0)))*2*DM155-DL157&lt;0,0,(SUMIFS(условия!$198:$198,условия!$8:$8,"&lt;="&amp;DM$9,условия!$9:$9,"&gt;="&amp;DM$9)/DAY(EOMONTH(DM$9,0)))*2*DM155-DL157))))</f>
        <v>1024.9286177388435</v>
      </c>
      <c r="DN157" s="33">
        <f>IF(DN$9="",0,IF(OR(DN$9="",DAY(EOMONTH(DN$9,0))=0),0,IF((DN155-((SUMIFS(условия!$198:$198,условия!$8:$8,"&lt;="&amp;DN$9,условия!$9:$9,"&gt;="&amp;DN$9)/DAY(EOMONTH(DN$9,0)))*2*DN155-DM157))&lt;0,DM157+DN155,IF((SUMIFS(условия!$198:$198,условия!$8:$8,"&lt;="&amp;DN$9,условия!$9:$9,"&gt;="&amp;DN$9)/DAY(EOMONTH(DN$9,0)))*2*DN155-DM157&lt;0,0,(SUMIFS(условия!$198:$198,условия!$8:$8,"&lt;="&amp;DN$9,условия!$9:$9,"&gt;="&amp;DN$9)/DAY(EOMONTH(DN$9,0)))*2*DN155-DM157))))</f>
        <v>191.37451735376089</v>
      </c>
      <c r="DO157" s="33">
        <f>IF(DO$9="",0,IF(OR(DO$9="",DAY(EOMONTH(DO$9,0))=0),0,IF((DO155-((SUMIFS(условия!$198:$198,условия!$8:$8,"&lt;="&amp;DO$9,условия!$9:$9,"&gt;="&amp;DO$9)/DAY(EOMONTH(DO$9,0)))*2*DO155-DN157))&lt;0,DN157+DO155,IF((SUMIFS(условия!$198:$198,условия!$8:$8,"&lt;="&amp;DO$9,условия!$9:$9,"&gt;="&amp;DO$9)/DAY(EOMONTH(DO$9,0)))*2*DO155-DN157&lt;0,0,(SUMIFS(условия!$198:$198,условия!$8:$8,"&lt;="&amp;DO$9,условия!$9:$9,"&gt;="&amp;DO$9)/DAY(EOMONTH(DO$9,0)))*2*DO155-DN157))))</f>
        <v>1134.0094470505294</v>
      </c>
      <c r="DP157" s="33">
        <f>IF(DP$9="",0,IF(OR(DP$9="",DAY(EOMONTH(DP$9,0))=0),0,IF((DP155-((SUMIFS(условия!$198:$198,условия!$8:$8,"&lt;="&amp;DP$9,условия!$9:$9,"&gt;="&amp;DP$9)/DAY(EOMONTH(DP$9,0)))*2*DP155-DO157))&lt;0,DO157+DP155,IF((SUMIFS(условия!$198:$198,условия!$8:$8,"&lt;="&amp;DP$9,условия!$9:$9,"&gt;="&amp;DP$9)/DAY(EOMONTH(DP$9,0)))*2*DP155-DO157&lt;0,0,(SUMIFS(условия!$198:$198,условия!$8:$8,"&lt;="&amp;DP$9,условия!$9:$9,"&gt;="&amp;DP$9)/DAY(EOMONTH(DP$9,0)))*2*DP155-DO157))))</f>
        <v>0</v>
      </c>
      <c r="DQ157" s="33">
        <f>IF(DQ$9="",0,IF(OR(DQ$9="",DAY(EOMONTH(DQ$9,0))=0),0,IF((DQ155-((SUMIFS(условия!$198:$198,условия!$8:$8,"&lt;="&amp;DQ$9,условия!$9:$9,"&gt;="&amp;DQ$9)/DAY(EOMONTH(DQ$9,0)))*2*DQ155-DP157))&lt;0,DP157+DQ155,IF((SUMIFS(условия!$198:$198,условия!$8:$8,"&lt;="&amp;DQ$9,условия!$9:$9,"&gt;="&amp;DQ$9)/DAY(EOMONTH(DQ$9,0)))*2*DQ155-DP157&lt;0,0,(SUMIFS(условия!$198:$198,условия!$8:$8,"&lt;="&amp;DQ$9,условия!$9:$9,"&gt;="&amp;DQ$9)/DAY(EOMONTH(DQ$9,0)))*2*DQ155-DP157))))</f>
        <v>589.14683106048028</v>
      </c>
      <c r="DR157" s="33">
        <f>IF(DR$9="",0,IF(OR(DR$9="",DAY(EOMONTH(DR$9,0))=0),0,IF((DR155-((SUMIFS(условия!$198:$198,условия!$8:$8,"&lt;="&amp;DR$9,условия!$9:$9,"&gt;="&amp;DR$9)/DAY(EOMONTH(DR$9,0)))*2*DR155-DQ157))&lt;0,DQ157+DR155,IF((SUMIFS(условия!$198:$198,условия!$8:$8,"&lt;="&amp;DR$9,условия!$9:$9,"&gt;="&amp;DR$9)/DAY(EOMONTH(DR$9,0)))*2*DR155-DQ157&lt;0,0,(SUMIFS(условия!$198:$198,условия!$8:$8,"&lt;="&amp;DR$9,условия!$9:$9,"&gt;="&amp;DR$9)/DAY(EOMONTH(DR$9,0)))*2*DR155-DQ157))))</f>
        <v>171.04262837239753</v>
      </c>
      <c r="DS157" s="33">
        <f>IF(DS$9="",0,IF(OR(DS$9="",DAY(EOMONTH(DS$9,0))=0),0,IF((DS155-((SUMIFS(условия!$198:$198,условия!$8:$8,"&lt;="&amp;DS$9,условия!$9:$9,"&gt;="&amp;DS$9)/DAY(EOMONTH(DS$9,0)))*2*DS155-DR157))&lt;0,DR157+DS155,IF((SUMIFS(условия!$198:$198,условия!$8:$8,"&lt;="&amp;DS$9,условия!$9:$9,"&gt;="&amp;DS$9)/DAY(EOMONTH(DS$9,0)))*2*DS155-DR157&lt;0,0,(SUMIFS(условия!$198:$198,условия!$8:$8,"&lt;="&amp;DS$9,условия!$9:$9,"&gt;="&amp;DS$9)/DAY(EOMONTH(DS$9,0)))*2*DS155-DR157))))</f>
        <v>878.01882564497396</v>
      </c>
      <c r="DT157" s="33">
        <f>IF(DT$9="",0,IF(OR(DT$9="",DAY(EOMONTH(DT$9,0))=0),0,IF((DT155-((SUMIFS(условия!$198:$198,условия!$8:$8,"&lt;="&amp;DT$9,условия!$9:$9,"&gt;="&amp;DT$9)/DAY(EOMONTH(DT$9,0)))*2*DT155-DS157))&lt;0,DS157+DT155,IF((SUMIFS(условия!$198:$198,условия!$8:$8,"&lt;="&amp;DT$9,условия!$9:$9,"&gt;="&amp;DT$9)/DAY(EOMONTH(DT$9,0)))*2*DT155-DS157&lt;0,0,(SUMIFS(условия!$198:$198,условия!$8:$8,"&lt;="&amp;DT$9,условия!$9:$9,"&gt;="&amp;DT$9)/DAY(EOMONTH(DT$9,0)))*2*DT155-DS157))))</f>
        <v>535.9335689001789</v>
      </c>
      <c r="DU157" s="33">
        <f>IF(DU$9="",0,IF(OR(DU$9="",DAY(EOMONTH(DU$9,0))=0),0,IF((DU155-((SUMIFS(условия!$198:$198,условия!$8:$8,"&lt;="&amp;DU$9,условия!$9:$9,"&gt;="&amp;DU$9)/DAY(EOMONTH(DU$9,0)))*2*DU155-DT157))&lt;0,DT157+DU155,IF((SUMIFS(условия!$198:$198,условия!$8:$8,"&lt;="&amp;DU$9,условия!$9:$9,"&gt;="&amp;DU$9)/DAY(EOMONTH(DU$9,0)))*2*DU155-DT157&lt;0,0,(SUMIFS(условия!$198:$198,условия!$8:$8,"&lt;="&amp;DU$9,условия!$9:$9,"&gt;="&amp;DU$9)/DAY(EOMONTH(DU$9,0)))*2*DU155-DT157))))</f>
        <v>1288.5211337387279</v>
      </c>
      <c r="DV157" s="33">
        <f>IF(DV$9="",0,IF(OR(DV$9="",DAY(EOMONTH(DV$9,0))=0),0,IF((DV155-((SUMIFS(условия!$198:$198,условия!$8:$8,"&lt;="&amp;DV$9,условия!$9:$9,"&gt;="&amp;DV$9)/DAY(EOMONTH(DV$9,0)))*2*DV155-DU157))&lt;0,DU157+DV155,IF((SUMIFS(условия!$198:$198,условия!$8:$8,"&lt;="&amp;DV$9,условия!$9:$9,"&gt;="&amp;DV$9)/DAY(EOMONTH(DV$9,0)))*2*DV155-DU157&lt;0,0,(SUMIFS(условия!$198:$198,условия!$8:$8,"&lt;="&amp;DV$9,условия!$9:$9,"&gt;="&amp;DV$9)/DAY(EOMONTH(DV$9,0)))*2*DV155-DU157))))</f>
        <v>1068.0661905031932</v>
      </c>
      <c r="DW157" s="33">
        <f>IF(DW$9="",0,IF(OR(DW$9="",DAY(EOMONTH(DW$9,0))=0),0,IF((DW155-((SUMIFS(условия!$198:$198,условия!$8:$8,"&lt;="&amp;DW$9,условия!$9:$9,"&gt;="&amp;DW$9)/DAY(EOMONTH(DW$9,0)))*2*DW155-DV157))&lt;0,DV157+DW155,IF((SUMIFS(условия!$198:$198,условия!$8:$8,"&lt;="&amp;DW$9,условия!$9:$9,"&gt;="&amp;DW$9)/DAY(EOMONTH(DW$9,0)))*2*DW155-DV157&lt;0,0,(SUMIFS(условия!$198:$198,условия!$8:$8,"&lt;="&amp;DW$9,условия!$9:$9,"&gt;="&amp;DW$9)/DAY(EOMONTH(DW$9,0)))*2*DW155-DV157))))</f>
        <v>908.42640402228903</v>
      </c>
      <c r="DX157" s="33">
        <f>IF(DX$9="",0,IF(OR(DX$9="",DAY(EOMONTH(DX$9,0))=0),0,IF((DX155-((SUMIFS(условия!$198:$198,условия!$8:$8,"&lt;="&amp;DX$9,условия!$9:$9,"&gt;="&amp;DX$9)/DAY(EOMONTH(DX$9,0)))*2*DX155-DW157))&lt;0,DW157+DX155,IF((SUMIFS(условия!$198:$198,условия!$8:$8,"&lt;="&amp;DX$9,условия!$9:$9,"&gt;="&amp;DX$9)/DAY(EOMONTH(DX$9,0)))*2*DX155-DW157&lt;0,0,(SUMIFS(условия!$198:$198,условия!$8:$8,"&lt;="&amp;DX$9,условия!$9:$9,"&gt;="&amp;DX$9)/DAY(EOMONTH(DX$9,0)))*2*DX155-DW157))))</f>
        <v>76.779135402720726</v>
      </c>
      <c r="DY157" s="33">
        <f>IF(DY$9="",0,IF(OR(DY$9="",DAY(EOMONTH(DY$9,0))=0),0,IF((DY155-((SUMIFS(условия!$198:$198,условия!$8:$8,"&lt;="&amp;DY$9,условия!$9:$9,"&gt;="&amp;DY$9)/DAY(EOMONTH(DY$9,0)))*2*DY155-DX157))&lt;0,DX157+DY155,IF((SUMIFS(условия!$198:$198,условия!$8:$8,"&lt;="&amp;DY$9,условия!$9:$9,"&gt;="&amp;DY$9)/DAY(EOMONTH(DY$9,0)))*2*DY155-DX157&lt;0,0,(SUMIFS(условия!$198:$198,условия!$8:$8,"&lt;="&amp;DY$9,условия!$9:$9,"&gt;="&amp;DY$9)/DAY(EOMONTH(DY$9,0)))*2*DY155-DX157))))</f>
        <v>967.56914396616719</v>
      </c>
      <c r="DZ157" s="33">
        <f>IF(DZ$9="",0,IF(OR(DZ$9="",DAY(EOMONTH(DZ$9,0))=0),0,IF((DZ155-((SUMIFS(условия!$198:$198,условия!$8:$8,"&lt;="&amp;DZ$9,условия!$9:$9,"&gt;="&amp;DZ$9)/DAY(EOMONTH(DZ$9,0)))*2*DZ155-DY157))&lt;0,DY157+DZ155,IF((SUMIFS(условия!$198:$198,условия!$8:$8,"&lt;="&amp;DZ$9,условия!$9:$9,"&gt;="&amp;DZ$9)/DAY(EOMONTH(DZ$9,0)))*2*DZ155-DY157&lt;0,0,(SUMIFS(условия!$198:$198,условия!$8:$8,"&lt;="&amp;DZ$9,условия!$9:$9,"&gt;="&amp;DZ$9)/DAY(EOMONTH(DZ$9,0)))*2*DZ155-DY157))))</f>
        <v>346.0382419338456</v>
      </c>
      <c r="EA157" s="33">
        <f>IF(EA$9="",0,IF(OR(EA$9="",DAY(EOMONTH(EA$9,0))=0),0,IF((EA155-((SUMIFS(условия!$198:$198,условия!$8:$8,"&lt;="&amp;EA$9,условия!$9:$9,"&gt;="&amp;EA$9)/DAY(EOMONTH(EA$9,0)))*2*EA155-DZ157))&lt;0,DZ157+EA155,IF((SUMIFS(условия!$198:$198,условия!$8:$8,"&lt;="&amp;EA$9,условия!$9:$9,"&gt;="&amp;EA$9)/DAY(EOMONTH(EA$9,0)))*2*EA155-DZ157&lt;0,0,(SUMIFS(условия!$198:$198,условия!$8:$8,"&lt;="&amp;EA$9,условия!$9:$9,"&gt;="&amp;EA$9)/DAY(EOMONTH(EA$9,0)))*2*EA155-DZ157))))</f>
        <v>1011.356056829501</v>
      </c>
      <c r="EB157" s="33">
        <f>IF(EB$9="",0,IF(OR(EB$9="",DAY(EOMONTH(EB$9,0))=0),0,IF((EB155-((SUMIFS(условия!$198:$198,условия!$8:$8,"&lt;="&amp;EB$9,условия!$9:$9,"&gt;="&amp;EB$9)/DAY(EOMONTH(EB$9,0)))*2*EB155-EA157))&lt;0,EA157+EB155,IF((SUMIFS(условия!$198:$198,условия!$8:$8,"&lt;="&amp;EB$9,условия!$9:$9,"&gt;="&amp;EB$9)/DAY(EOMONTH(EB$9,0)))*2*EB155-EA157&lt;0,0,(SUMIFS(условия!$198:$198,условия!$8:$8,"&lt;="&amp;EB$9,условия!$9:$9,"&gt;="&amp;EB$9)/DAY(EOMONTH(EB$9,0)))*2*EB155-EA157))))</f>
        <v>0</v>
      </c>
      <c r="EC157" s="33">
        <f>IF(EC$9="",0,IF(OR(EC$9="",DAY(EOMONTH(EC$9,0))=0),0,IF((EC155-((SUMIFS(условия!$198:$198,условия!$8:$8,"&lt;="&amp;EC$9,условия!$9:$9,"&gt;="&amp;EC$9)/DAY(EOMONTH(EC$9,0)))*2*EC155-EB157))&lt;0,EB157+EC155,IF((SUMIFS(условия!$198:$198,условия!$8:$8,"&lt;="&amp;EC$9,условия!$9:$9,"&gt;="&amp;EC$9)/DAY(EOMONTH(EC$9,0)))*2*EC155-EB157&lt;0,0,(SUMIFS(условия!$198:$198,условия!$8:$8,"&lt;="&amp;EC$9,условия!$9:$9,"&gt;="&amp;EC$9)/DAY(EOMONTH(EC$9,0)))*2*EC155-EB157))))</f>
        <v>636.27857754531874</v>
      </c>
      <c r="ED157" s="33">
        <f>IF(ED$9="",0,IF(OR(ED$9="",DAY(EOMONTH(ED$9,0))=0),0,IF((ED155-((SUMIFS(условия!$198:$198,условия!$8:$8,"&lt;="&amp;ED$9,условия!$9:$9,"&gt;="&amp;ED$9)/DAY(EOMONTH(ED$9,0)))*2*ED155-EC157))&lt;0,EC157+ED155,IF((SUMIFS(условия!$198:$198,условия!$8:$8,"&lt;="&amp;ED$9,условия!$9:$9,"&gt;="&amp;ED$9)/DAY(EOMONTH(ED$9,0)))*2*ED155-EC157&lt;0,0,(SUMIFS(условия!$198:$198,условия!$8:$8,"&lt;="&amp;ED$9,условия!$9:$9,"&gt;="&amp;ED$9)/DAY(EOMONTH(ED$9,0)))*2*ED155-EC157))))</f>
        <v>184.72603864218934</v>
      </c>
      <c r="EE157" s="33">
        <f>IF(EE$9="",0,IF(OR(EE$9="",DAY(EOMONTH(EE$9,0))=0),0,IF((EE155-((SUMIFS(условия!$198:$198,условия!$8:$8,"&lt;="&amp;EE$9,условия!$9:$9,"&gt;="&amp;EE$9)/DAY(EOMONTH(EE$9,0)))*2*EE155-ED157))&lt;0,ED157+EE155,IF((SUMIFS(условия!$198:$198,условия!$8:$8,"&lt;="&amp;EE$9,условия!$9:$9,"&gt;="&amp;EE$9)/DAY(EOMONTH(EE$9,0)))*2*EE155-ED157&lt;0,0,(SUMIFS(условия!$198:$198,условия!$8:$8,"&lt;="&amp;EE$9,условия!$9:$9,"&gt;="&amp;EE$9)/DAY(EOMONTH(EE$9,0)))*2*EE155-ED157))))</f>
        <v>948.26033169657194</v>
      </c>
      <c r="EF157" s="33">
        <f>IF(EF$9="",0,IF(OR(EF$9="",DAY(EOMONTH(EF$9,0))=0),0,IF((EF155-((SUMIFS(условия!$198:$198,условия!$8:$8,"&lt;="&amp;EF$9,условия!$9:$9,"&gt;="&amp;EF$9)/DAY(EOMONTH(EF$9,0)))*2*EF155-EE157))&lt;0,EE157+EF155,IF((SUMIFS(условия!$198:$198,условия!$8:$8,"&lt;="&amp;EF$9,условия!$9:$9,"&gt;="&amp;EF$9)/DAY(EOMONTH(EF$9,0)))*2*EF155-EE157&lt;0,0,(SUMIFS(условия!$198:$198,условия!$8:$8,"&lt;="&amp;EF$9,условия!$9:$9,"&gt;="&amp;EF$9)/DAY(EOMONTH(EF$9,0)))*2*EF155-EE157))))</f>
        <v>578.80825441219304</v>
      </c>
      <c r="EG157" s="33">
        <f>IF(EG$9="",0,IF(OR(EG$9="",DAY(EOMONTH(EG$9,0))=0),0,IF((EG155-((SUMIFS(условия!$198:$198,условия!$8:$8,"&lt;="&amp;EG$9,условия!$9:$9,"&gt;="&amp;EG$9)/DAY(EOMONTH(EG$9,0)))*2*EG155-EF157))&lt;0,EF157+EG155,IF((SUMIFS(условия!$198:$198,условия!$8:$8,"&lt;="&amp;EG$9,условия!$9:$9,"&gt;="&amp;EG$9)/DAY(EOMONTH(EG$9,0)))*2*EG155-EF157&lt;0,0,(SUMIFS(условия!$198:$198,условия!$8:$8,"&lt;="&amp;EG$9,условия!$9:$9,"&gt;="&amp;EG$9)/DAY(EOMONTH(EG$9,0)))*2*EG155-EF157))))</f>
        <v>1391.6028244378265</v>
      </c>
      <c r="EH157" s="33">
        <f>IF(EH$9="",0,IF(OR(EH$9="",DAY(EOMONTH(EH$9,0))=0),0,IF((EH155-((SUMIFS(условия!$198:$198,условия!$8:$8,"&lt;="&amp;EH$9,условия!$9:$9,"&gt;="&amp;EH$9)/DAY(EOMONTH(EH$9,0)))*2*EH155-EG157))&lt;0,EG157+EH155,IF((SUMIFS(условия!$198:$198,условия!$8:$8,"&lt;="&amp;EH$9,условия!$9:$9,"&gt;="&amp;EH$9)/DAY(EOMONTH(EH$9,0)))*2*EH155-EG157&lt;0,0,(SUMIFS(условия!$198:$198,условия!$8:$8,"&lt;="&amp;EH$9,условия!$9:$9,"&gt;="&amp;EH$9)/DAY(EOMONTH(EH$9,0)))*2*EH155-EG157))))</f>
        <v>1153.5114857434485</v>
      </c>
      <c r="EI157" s="33">
        <f>IF(EI$9="",0,IF(OR(EI$9="",DAY(EOMONTH(EI$9,0))=0),0,IF((EI155-((SUMIFS(условия!$198:$198,условия!$8:$8,"&lt;="&amp;EI$9,условия!$9:$9,"&gt;="&amp;EI$9)/DAY(EOMONTH(EI$9,0)))*2*EI155-EH157))&lt;0,EH157+EI155,IF((SUMIFS(условия!$198:$198,условия!$8:$8,"&lt;="&amp;EI$9,условия!$9:$9,"&gt;="&amp;EI$9)/DAY(EOMONTH(EI$9,0)))*2*EI155-EH157&lt;0,0,(SUMIFS(условия!$198:$198,условия!$8:$8,"&lt;="&amp;EI$9,условия!$9:$9,"&gt;="&amp;EI$9)/DAY(EOMONTH(EI$9,0)))*2*EI155-EH157))))</f>
        <v>981.1005163440725</v>
      </c>
      <c r="EJ157" s="3"/>
      <c r="EK157" s="3"/>
    </row>
    <row r="158" spans="1:14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2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</row>
    <row r="159" spans="1:141" x14ac:dyDescent="0.25">
      <c r="A159" s="3"/>
      <c r="B159" s="3"/>
      <c r="C159" s="3"/>
      <c r="D159" s="3"/>
      <c r="E159" s="3"/>
      <c r="F159" s="10" t="str">
        <f>KPI!$F$165</f>
        <v>Оплата расходов логистики</v>
      </c>
      <c r="G159" s="3"/>
      <c r="H159" s="3"/>
      <c r="I159" s="3"/>
      <c r="J159" s="5" t="str">
        <f>IF($F159="","",INDEX(KPI!$I$11:$I$275,SUMIFS(KPI!$E$11:$E$275,KPI!$F$11:$F$275,$F159)))</f>
        <v>тыс.руб.</v>
      </c>
      <c r="K159" s="3"/>
      <c r="L159" s="3"/>
      <c r="M159" s="3"/>
      <c r="N159" s="3"/>
      <c r="O159" s="3"/>
      <c r="P159" s="3"/>
      <c r="Q159" s="12">
        <f>SUM(S159:EJ159)</f>
        <v>56190.037815716794</v>
      </c>
      <c r="R159" s="3"/>
      <c r="S159" s="55"/>
      <c r="T159" s="33">
        <f>S157+T155-T157</f>
        <v>0</v>
      </c>
      <c r="U159" s="33">
        <f t="shared" ref="U159:CF159" si="65">T157+U155-U157</f>
        <v>0</v>
      </c>
      <c r="V159" s="33">
        <f t="shared" si="65"/>
        <v>0</v>
      </c>
      <c r="W159" s="33">
        <f t="shared" si="65"/>
        <v>0</v>
      </c>
      <c r="X159" s="33">
        <f t="shared" si="65"/>
        <v>0</v>
      </c>
      <c r="Y159" s="33">
        <f t="shared" si="65"/>
        <v>9.3000000000000007</v>
      </c>
      <c r="Z159" s="33">
        <f t="shared" si="65"/>
        <v>0</v>
      </c>
      <c r="AA159" s="33">
        <f t="shared" si="65"/>
        <v>8.6322580645161295</v>
      </c>
      <c r="AB159" s="33">
        <f t="shared" si="65"/>
        <v>0</v>
      </c>
      <c r="AC159" s="33">
        <f t="shared" si="65"/>
        <v>16.800000000000004</v>
      </c>
      <c r="AD159" s="33">
        <f t="shared" si="65"/>
        <v>0</v>
      </c>
      <c r="AE159" s="33">
        <f t="shared" si="65"/>
        <v>29.167741935483871</v>
      </c>
      <c r="AF159" s="33">
        <f t="shared" si="65"/>
        <v>0</v>
      </c>
      <c r="AG159" s="33">
        <f t="shared" si="65"/>
        <v>32.659200000000006</v>
      </c>
      <c r="AH159" s="33">
        <f t="shared" si="65"/>
        <v>20.602219354838716</v>
      </c>
      <c r="AI159" s="33">
        <f t="shared" si="65"/>
        <v>36.209961290322589</v>
      </c>
      <c r="AJ159" s="33">
        <f t="shared" si="65"/>
        <v>25.206503225806451</v>
      </c>
      <c r="AK159" s="33">
        <f t="shared" si="65"/>
        <v>18.612232258064527</v>
      </c>
      <c r="AL159" s="33">
        <f t="shared" si="65"/>
        <v>18.456154838709669</v>
      </c>
      <c r="AM159" s="33">
        <f t="shared" si="65"/>
        <v>16.778322580645174</v>
      </c>
      <c r="AN159" s="33">
        <f t="shared" si="65"/>
        <v>22.2020129032258</v>
      </c>
      <c r="AO159" s="33">
        <f t="shared" si="65"/>
        <v>41.360516129032284</v>
      </c>
      <c r="AP159" s="33">
        <f t="shared" si="65"/>
        <v>40.228954838709676</v>
      </c>
      <c r="AQ159" s="33">
        <f t="shared" si="65"/>
        <v>73.08325161290324</v>
      </c>
      <c r="AR159" s="33">
        <f t="shared" si="65"/>
        <v>0</v>
      </c>
      <c r="AS159" s="33">
        <f t="shared" si="65"/>
        <v>129.79398193548388</v>
      </c>
      <c r="AT159" s="33">
        <f t="shared" si="65"/>
        <v>24.861398709677445</v>
      </c>
      <c r="AU159" s="33">
        <f t="shared" si="65"/>
        <v>140.10434064516127</v>
      </c>
      <c r="AV159" s="33">
        <f t="shared" si="65"/>
        <v>38.230874838709695</v>
      </c>
      <c r="AW159" s="33">
        <f t="shared" si="65"/>
        <v>89.005749677419374</v>
      </c>
      <c r="AX159" s="33">
        <f t="shared" si="65"/>
        <v>18.629863225806446</v>
      </c>
      <c r="AY159" s="33">
        <f t="shared" si="65"/>
        <v>83.68061935483874</v>
      </c>
      <c r="AZ159" s="33">
        <f t="shared" si="65"/>
        <v>0</v>
      </c>
      <c r="BA159" s="33">
        <f t="shared" si="65"/>
        <v>214.07347612903226</v>
      </c>
      <c r="BB159" s="33">
        <f t="shared" si="65"/>
        <v>0</v>
      </c>
      <c r="BC159" s="33">
        <f t="shared" si="65"/>
        <v>332.79636645161293</v>
      </c>
      <c r="BD159" s="33">
        <f t="shared" si="65"/>
        <v>0</v>
      </c>
      <c r="BE159" s="33">
        <f t="shared" si="65"/>
        <v>203.08627862068977</v>
      </c>
      <c r="BF159" s="33">
        <f t="shared" si="65"/>
        <v>108.39648533926598</v>
      </c>
      <c r="BG159" s="33">
        <f t="shared" si="65"/>
        <v>231.84535208008899</v>
      </c>
      <c r="BH159" s="33">
        <f t="shared" si="65"/>
        <v>135.97102985539499</v>
      </c>
      <c r="BI159" s="33">
        <f t="shared" si="65"/>
        <v>126.45450820912131</v>
      </c>
      <c r="BJ159" s="33">
        <f t="shared" si="65"/>
        <v>95.543943403782038</v>
      </c>
      <c r="BK159" s="33">
        <f t="shared" si="65"/>
        <v>115.47142691879873</v>
      </c>
      <c r="BL159" s="33">
        <f t="shared" si="65"/>
        <v>117.97747114571757</v>
      </c>
      <c r="BM159" s="33">
        <f t="shared" si="65"/>
        <v>262.69145272525031</v>
      </c>
      <c r="BN159" s="33">
        <f t="shared" si="65"/>
        <v>225.93882340378229</v>
      </c>
      <c r="BO159" s="33">
        <f t="shared" si="65"/>
        <v>452.67539078976648</v>
      </c>
      <c r="BP159" s="33">
        <f t="shared" si="65"/>
        <v>118.24587228120168</v>
      </c>
      <c r="BQ159" s="33">
        <f t="shared" si="65"/>
        <v>351.31991125428232</v>
      </c>
      <c r="BR159" s="33">
        <f t="shared" si="65"/>
        <v>290.27898216507305</v>
      </c>
      <c r="BS159" s="33">
        <f t="shared" si="65"/>
        <v>394.09317081557242</v>
      </c>
      <c r="BT159" s="33">
        <f t="shared" si="65"/>
        <v>345.74320884894399</v>
      </c>
      <c r="BU159" s="33">
        <f t="shared" si="65"/>
        <v>182.1070162865401</v>
      </c>
      <c r="BV159" s="33">
        <f t="shared" si="65"/>
        <v>264.42701210055679</v>
      </c>
      <c r="BW159" s="33">
        <f t="shared" si="65"/>
        <v>160.01533277686275</v>
      </c>
      <c r="BX159" s="33">
        <f t="shared" si="65"/>
        <v>309.55045075862131</v>
      </c>
      <c r="BY159" s="33">
        <f t="shared" si="65"/>
        <v>456.13789897041113</v>
      </c>
      <c r="BZ159" s="33">
        <f t="shared" si="65"/>
        <v>526.70699930055707</v>
      </c>
      <c r="CA159" s="33">
        <f t="shared" si="65"/>
        <v>838.27702010589519</v>
      </c>
      <c r="CB159" s="33">
        <f t="shared" si="65"/>
        <v>356.45767535113737</v>
      </c>
      <c r="CC159" s="33">
        <f t="shared" si="65"/>
        <v>302.10833605737878</v>
      </c>
      <c r="CD159" s="33">
        <f t="shared" si="65"/>
        <v>597.73411196326686</v>
      </c>
      <c r="CE159" s="33">
        <f t="shared" si="65"/>
        <v>362.09783259208837</v>
      </c>
      <c r="CF159" s="33">
        <f t="shared" si="65"/>
        <v>675.52268988739604</v>
      </c>
      <c r="CG159" s="33">
        <f t="shared" ref="CG159:EI159" si="66">CF157+CG155-CG157</f>
        <v>0</v>
      </c>
      <c r="CH159" s="33">
        <f t="shared" si="66"/>
        <v>691.05122567802368</v>
      </c>
      <c r="CI159" s="33">
        <f t="shared" si="66"/>
        <v>0</v>
      </c>
      <c r="CJ159" s="33">
        <f t="shared" si="66"/>
        <v>562.7951744210734</v>
      </c>
      <c r="CK159" s="33">
        <f t="shared" si="66"/>
        <v>511.08273607389469</v>
      </c>
      <c r="CL159" s="33">
        <f t="shared" si="66"/>
        <v>867.35723375113798</v>
      </c>
      <c r="CM159" s="33">
        <f t="shared" si="66"/>
        <v>1047.0328534664111</v>
      </c>
      <c r="CN159" s="33">
        <f t="shared" si="66"/>
        <v>633.24696324089291</v>
      </c>
      <c r="CO159" s="33">
        <f t="shared" si="66"/>
        <v>261.62802873185603</v>
      </c>
      <c r="CP159" s="33">
        <f t="shared" si="66"/>
        <v>961.09906240208011</v>
      </c>
      <c r="CQ159" s="33">
        <f t="shared" si="66"/>
        <v>343.14316814078529</v>
      </c>
      <c r="CR159" s="33">
        <f t="shared" si="66"/>
        <v>1066.8000124048672</v>
      </c>
      <c r="CS159" s="33">
        <f t="shared" si="66"/>
        <v>0</v>
      </c>
      <c r="CT159" s="33">
        <f t="shared" si="66"/>
        <v>790.13277874579182</v>
      </c>
      <c r="CU159" s="33">
        <f t="shared" si="66"/>
        <v>0</v>
      </c>
      <c r="CV159" s="33">
        <f t="shared" si="66"/>
        <v>913.62321197709934</v>
      </c>
      <c r="CW159" s="33">
        <f t="shared" si="66"/>
        <v>545.58736051900451</v>
      </c>
      <c r="CX159" s="33">
        <f t="shared" si="66"/>
        <v>1298.5541194406062</v>
      </c>
      <c r="CY159" s="33">
        <f t="shared" si="66"/>
        <v>1505.1704699852512</v>
      </c>
      <c r="CZ159" s="33">
        <f t="shared" si="66"/>
        <v>799.46854838060301</v>
      </c>
      <c r="DA159" s="33">
        <f t="shared" si="66"/>
        <v>319.1154101804525</v>
      </c>
      <c r="DB159" s="33">
        <f t="shared" si="66"/>
        <v>1126.9520430210325</v>
      </c>
      <c r="DC159" s="33">
        <f t="shared" si="66"/>
        <v>452.63021396977092</v>
      </c>
      <c r="DD159" s="33">
        <f t="shared" si="66"/>
        <v>1254.9676380244077</v>
      </c>
      <c r="DE159" s="33">
        <f t="shared" si="66"/>
        <v>0</v>
      </c>
      <c r="DF159" s="33">
        <f t="shared" si="66"/>
        <v>993.98429792472348</v>
      </c>
      <c r="DG159" s="33">
        <f t="shared" si="66"/>
        <v>0</v>
      </c>
      <c r="DH159" s="33">
        <f t="shared" si="66"/>
        <v>1069.453513061889</v>
      </c>
      <c r="DI159" s="33">
        <f t="shared" si="66"/>
        <v>697.81262473894799</v>
      </c>
      <c r="DJ159" s="33">
        <f t="shared" si="66"/>
        <v>1570.6671138378172</v>
      </c>
      <c r="DK159" s="33">
        <f t="shared" si="66"/>
        <v>1579.81837675373</v>
      </c>
      <c r="DL159" s="33">
        <f t="shared" si="66"/>
        <v>1218.9574400836884</v>
      </c>
      <c r="DM159" s="33">
        <f t="shared" si="66"/>
        <v>0</v>
      </c>
      <c r="DN159" s="33">
        <f t="shared" si="66"/>
        <v>1776.1890300818511</v>
      </c>
      <c r="DO159" s="33">
        <f t="shared" si="66"/>
        <v>0</v>
      </c>
      <c r="DP159" s="33">
        <f t="shared" si="66"/>
        <v>1840.9856443231058</v>
      </c>
      <c r="DQ159" s="33">
        <f t="shared" si="66"/>
        <v>0</v>
      </c>
      <c r="DR159" s="33">
        <f t="shared" si="66"/>
        <v>1007.251033748563</v>
      </c>
      <c r="DS159" s="33">
        <f t="shared" si="66"/>
        <v>0</v>
      </c>
      <c r="DT159" s="33">
        <f t="shared" si="66"/>
        <v>1402.5495526536597</v>
      </c>
      <c r="DU159" s="33">
        <f t="shared" si="66"/>
        <v>661.36482970660381</v>
      </c>
      <c r="DV159" s="33">
        <f t="shared" si="66"/>
        <v>1987.8954364169756</v>
      </c>
      <c r="DW159" s="33">
        <f t="shared" si="66"/>
        <v>1691.4215472381527</v>
      </c>
      <c r="DX159" s="33">
        <f t="shared" si="66"/>
        <v>1595.1815616739509</v>
      </c>
      <c r="DY159" s="33">
        <f t="shared" si="66"/>
        <v>0</v>
      </c>
      <c r="DZ159" s="33">
        <f t="shared" si="66"/>
        <v>1639.5766261048316</v>
      </c>
      <c r="EA159" s="33">
        <f t="shared" si="66"/>
        <v>352.72790917685472</v>
      </c>
      <c r="EB159" s="33">
        <f t="shared" si="66"/>
        <v>1774.8903498838836</v>
      </c>
      <c r="EC159" s="33">
        <f t="shared" si="66"/>
        <v>0</v>
      </c>
      <c r="ED159" s="33">
        <f t="shared" si="66"/>
        <v>1087.831116448448</v>
      </c>
      <c r="EE159" s="33">
        <f t="shared" si="66"/>
        <v>0</v>
      </c>
      <c r="EF159" s="33">
        <f t="shared" si="66"/>
        <v>1514.7535168659529</v>
      </c>
      <c r="EG159" s="33">
        <f t="shared" si="66"/>
        <v>714.27401608313198</v>
      </c>
      <c r="EH159" s="33">
        <f t="shared" si="66"/>
        <v>2146.927071330334</v>
      </c>
      <c r="EI159" s="33">
        <f t="shared" si="66"/>
        <v>1826.7352710172052</v>
      </c>
      <c r="EJ159" s="3"/>
      <c r="EK159" s="3"/>
    </row>
    <row r="160" spans="1:14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2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</row>
    <row r="161" spans="1:141" x14ac:dyDescent="0.25">
      <c r="A161" s="3"/>
      <c r="B161" s="3"/>
      <c r="C161" s="3"/>
      <c r="D161" s="3"/>
      <c r="E161" s="3"/>
      <c r="F161" s="10" t="str">
        <f>KPI!$F$167</f>
        <v>Кред. задолж-ть по маркетинговым расходам на конец периода</v>
      </c>
      <c r="G161" s="3"/>
      <c r="H161" s="3"/>
      <c r="I161" s="3"/>
      <c r="J161" s="5" t="str">
        <f>IF($F161="","",INDEX(KPI!$I$11:$I$275,SUMIFS(KPI!$E$11:$E$275,KPI!$F$11:$F$275,$F161)))</f>
        <v>тыс.руб.</v>
      </c>
      <c r="K161" s="3"/>
      <c r="L161" s="3"/>
      <c r="M161" s="3"/>
      <c r="N161" s="3"/>
      <c r="O161" s="3"/>
      <c r="P161" s="3"/>
      <c r="Q161" s="12"/>
      <c r="R161" s="3"/>
      <c r="S161" s="55"/>
      <c r="T161" s="33">
        <f>IF(T$9="",0,IF(OR(T$9="",DAY(EOMONTH(T$9,0))=0),0,IF((T91-((SUMIFS(условия!$200:$200,условия!$8:$8,"&lt;="&amp;T$9,условия!$9:$9,"&gt;="&amp;T$9)/DAY(EOMONTH(T$9,0)))*2*T91-S161))&lt;0,S161+T91,IF((SUMIFS(условия!$200:$200,условия!$8:$8,"&lt;="&amp;T$9,условия!$9:$9,"&gt;="&amp;T$9)/DAY(EOMONTH(T$9,0)))*2*T91-S161&lt;0,0,(SUMIFS(условия!$200:$200,условия!$8:$8,"&lt;="&amp;T$9,условия!$9:$9,"&gt;="&amp;T$9)/DAY(EOMONTH(T$9,0)))*2*T91-S161))))</f>
        <v>0</v>
      </c>
      <c r="U161" s="33">
        <f>IF(U$9="",0,IF(OR(U$9="",DAY(EOMONTH(U$9,0))=0),0,IF((U91-((SUMIFS(условия!$200:$200,условия!$8:$8,"&lt;="&amp;U$9,условия!$9:$9,"&gt;="&amp;U$9)/DAY(EOMONTH(U$9,0)))*2*U91-T161))&lt;0,T161+U91,IF((SUMIFS(условия!$200:$200,условия!$8:$8,"&lt;="&amp;U$9,условия!$9:$9,"&gt;="&amp;U$9)/DAY(EOMONTH(U$9,0)))*2*U91-T161&lt;0,0,(SUMIFS(условия!$200:$200,условия!$8:$8,"&lt;="&amp;U$9,условия!$9:$9,"&gt;="&amp;U$9)/DAY(EOMONTH(U$9,0)))*2*U91-T161))))</f>
        <v>0</v>
      </c>
      <c r="V161" s="33">
        <f>IF(V$9="",0,IF(OR(V$9="",DAY(EOMONTH(V$9,0))=0),0,IF((V91-((SUMIFS(условия!$200:$200,условия!$8:$8,"&lt;="&amp;V$9,условия!$9:$9,"&gt;="&amp;V$9)/DAY(EOMONTH(V$9,0)))*2*V91-U161))&lt;0,U161+V91,IF((SUMIFS(условия!$200:$200,условия!$8:$8,"&lt;="&amp;V$9,условия!$9:$9,"&gt;="&amp;V$9)/DAY(EOMONTH(V$9,0)))*2*V91-U161&lt;0,0,(SUMIFS(условия!$200:$200,условия!$8:$8,"&lt;="&amp;V$9,условия!$9:$9,"&gt;="&amp;V$9)/DAY(EOMONTH(V$9,0)))*2*V91-U161))))</f>
        <v>0</v>
      </c>
      <c r="W161" s="33">
        <f>IF(W$9="",0,IF(OR(W$9="",DAY(EOMONTH(W$9,0))=0),0,IF((W91-((SUMIFS(условия!$200:$200,условия!$8:$8,"&lt;="&amp;W$9,условия!$9:$9,"&gt;="&amp;W$9)/DAY(EOMONTH(W$9,0)))*2*W91-V161))&lt;0,V161+W91,IF((SUMIFS(условия!$200:$200,условия!$8:$8,"&lt;="&amp;W$9,условия!$9:$9,"&gt;="&amp;W$9)/DAY(EOMONTH(W$9,0)))*2*W91-V161&lt;0,0,(SUMIFS(условия!$200:$200,условия!$8:$8,"&lt;="&amp;W$9,условия!$9:$9,"&gt;="&amp;W$9)/DAY(EOMONTH(W$9,0)))*2*W91-V161))))</f>
        <v>0</v>
      </c>
      <c r="X161" s="33">
        <f>IF(X$9="",0,IF(OR(X$9="",DAY(EOMONTH(X$9,0))=0),0,IF((X91-((SUMIFS(условия!$200:$200,условия!$8:$8,"&lt;="&amp;X$9,условия!$9:$9,"&gt;="&amp;X$9)/DAY(EOMONTH(X$9,0)))*2*X91-W161))&lt;0,W161+X91,IF((SUMIFS(условия!$200:$200,условия!$8:$8,"&lt;="&amp;X$9,условия!$9:$9,"&gt;="&amp;X$9)/DAY(EOMONTH(X$9,0)))*2*X91-W161&lt;0,0,(SUMIFS(условия!$200:$200,условия!$8:$8,"&lt;="&amp;X$9,условия!$9:$9,"&gt;="&amp;X$9)/DAY(EOMONTH(X$9,0)))*2*X91-W161))))</f>
        <v>52.991999999999997</v>
      </c>
      <c r="Y161" s="33">
        <f>IF(Y$9="",0,IF(OR(Y$9="",DAY(EOMONTH(Y$9,0))=0),0,IF((Y91-((SUMIFS(условия!$200:$200,условия!$8:$8,"&lt;="&amp;Y$9,условия!$9:$9,"&gt;="&amp;Y$9)/DAY(EOMONTH(Y$9,0)))*2*Y91-X161))&lt;0,X161+Y91,IF((SUMIFS(условия!$200:$200,условия!$8:$8,"&lt;="&amp;Y$9,условия!$9:$9,"&gt;="&amp;Y$9)/DAY(EOMONTH(Y$9,0)))*2*Y91-X161&lt;0,0,(SUMIFS(условия!$200:$200,условия!$8:$8,"&lt;="&amp;Y$9,условия!$9:$9,"&gt;="&amp;Y$9)/DAY(EOMONTH(Y$9,0)))*2*Y91-X161))))</f>
        <v>97.048500000000004</v>
      </c>
      <c r="Z161" s="33">
        <f>IF(Z$9="",0,IF(OR(Z$9="",DAY(EOMONTH(Z$9,0))=0),0,IF((Z91-((SUMIFS(условия!$200:$200,условия!$8:$8,"&lt;="&amp;Z$9,условия!$9:$9,"&gt;="&amp;Z$9)/DAY(EOMONTH(Z$9,0)))*2*Z91-Y161))&lt;0,Y161+Z91,IF((SUMIFS(условия!$200:$200,условия!$8:$8,"&lt;="&amp;Z$9,условия!$9:$9,"&gt;="&amp;Z$9)/DAY(EOMONTH(Z$9,0)))*2*Z91-Y161&lt;0,0,(SUMIFS(условия!$200:$200,условия!$8:$8,"&lt;="&amp;Z$9,условия!$9:$9,"&gt;="&amp;Z$9)/DAY(EOMONTH(Z$9,0)))*2*Z91-Y161))))</f>
        <v>141.36375000000001</v>
      </c>
      <c r="AA161" s="33">
        <f>IF(AA$9="",0,IF(OR(AA$9="",DAY(EOMONTH(AA$9,0))=0),0,IF((AA91-((SUMIFS(условия!$200:$200,условия!$8:$8,"&lt;="&amp;AA$9,условия!$9:$9,"&gt;="&amp;AA$9)/DAY(EOMONTH(AA$9,0)))*2*AA91-Z161))&lt;0,Z161+AA91,IF((SUMIFS(условия!$200:$200,условия!$8:$8,"&lt;="&amp;AA$9,условия!$9:$9,"&gt;="&amp;AA$9)/DAY(EOMONTH(AA$9,0)))*2*AA91-Z161&lt;0,0,(SUMIFS(условия!$200:$200,условия!$8:$8,"&lt;="&amp;AA$9,условия!$9:$9,"&gt;="&amp;AA$9)/DAY(EOMONTH(AA$9,0)))*2*AA91-Z161))))</f>
        <v>194.85255000000001</v>
      </c>
      <c r="AB161" s="33">
        <f>IF(AB$9="",0,IF(OR(AB$9="",DAY(EOMONTH(AB$9,0))=0),0,IF((AB91-((SUMIFS(условия!$200:$200,условия!$8:$8,"&lt;="&amp;AB$9,условия!$9:$9,"&gt;="&amp;AB$9)/DAY(EOMONTH(AB$9,0)))*2*AB91-AA161))&lt;0,AA161+AB91,IF((SUMIFS(условия!$200:$200,условия!$8:$8,"&lt;="&amp;AB$9,условия!$9:$9,"&gt;="&amp;AB$9)/DAY(EOMONTH(AB$9,0)))*2*AB91-AA161&lt;0,0,(SUMIFS(условия!$200:$200,условия!$8:$8,"&lt;="&amp;AB$9,условия!$9:$9,"&gt;="&amp;AB$9)/DAY(EOMONTH(AB$9,0)))*2*AB91-AA161))))</f>
        <v>276.01724999999999</v>
      </c>
      <c r="AC161" s="33">
        <f>IF(AC$9="",0,IF(OR(AC$9="",DAY(EOMONTH(AC$9,0))=0),0,IF((AC91-((SUMIFS(условия!$200:$200,условия!$8:$8,"&lt;="&amp;AC$9,условия!$9:$9,"&gt;="&amp;AC$9)/DAY(EOMONTH(AC$9,0)))*2*AC91-AB161))&lt;0,AB161+AC91,IF((SUMIFS(условия!$200:$200,условия!$8:$8,"&lt;="&amp;AC$9,условия!$9:$9,"&gt;="&amp;AC$9)/DAY(EOMONTH(AC$9,0)))*2*AC91-AB161&lt;0,0,(SUMIFS(условия!$200:$200,условия!$8:$8,"&lt;="&amp;AC$9,условия!$9:$9,"&gt;="&amp;AC$9)/DAY(EOMONTH(AC$9,0)))*2*AC91-AB161))))</f>
        <v>386.72084999999998</v>
      </c>
      <c r="AD161" s="33">
        <f>IF(AD$9="",0,IF(OR(AD$9="",DAY(EOMONTH(AD$9,0))=0),0,IF((AD91-((SUMIFS(условия!$200:$200,условия!$8:$8,"&lt;="&amp;AD$9,условия!$9:$9,"&gt;="&amp;AD$9)/DAY(EOMONTH(AD$9,0)))*2*AD91-AC161))&lt;0,AC161+AD91,IF((SUMIFS(условия!$200:$200,условия!$8:$8,"&lt;="&amp;AD$9,условия!$9:$9,"&gt;="&amp;AD$9)/DAY(EOMONTH(AD$9,0)))*2*AD91-AC161&lt;0,0,(SUMIFS(условия!$200:$200,условия!$8:$8,"&lt;="&amp;AD$9,условия!$9:$9,"&gt;="&amp;AD$9)/DAY(EOMONTH(AD$9,0)))*2*AD91-AC161))))</f>
        <v>528.20534999999995</v>
      </c>
      <c r="AE161" s="33">
        <f>IF(AE$9="",0,IF(OR(AE$9="",DAY(EOMONTH(AE$9,0))=0),0,IF((AE91-((SUMIFS(условия!$200:$200,условия!$8:$8,"&lt;="&amp;AE$9,условия!$9:$9,"&gt;="&amp;AE$9)/DAY(EOMONTH(AE$9,0)))*2*AE91-AD161))&lt;0,AD161+AE91,IF((SUMIFS(условия!$200:$200,условия!$8:$8,"&lt;="&amp;AE$9,условия!$9:$9,"&gt;="&amp;AE$9)/DAY(EOMONTH(AE$9,0)))*2*AE91-AD161&lt;0,0,(SUMIFS(условия!$200:$200,условия!$8:$8,"&lt;="&amp;AE$9,условия!$9:$9,"&gt;="&amp;AE$9)/DAY(EOMONTH(AE$9,0)))*2*AE91-AD161))))</f>
        <v>0</v>
      </c>
      <c r="AF161" s="33">
        <f>IF(AF$9="",0,IF(OR(AF$9="",DAY(EOMONTH(AF$9,0))=0),0,IF((AF91-((SUMIFS(условия!$200:$200,условия!$8:$8,"&lt;="&amp;AF$9,условия!$9:$9,"&gt;="&amp;AF$9)/DAY(EOMONTH(AF$9,0)))*2*AF91-AE161))&lt;0,AE161+AF91,IF((SUMIFS(условия!$200:$200,условия!$8:$8,"&lt;="&amp;AF$9,условия!$9:$9,"&gt;="&amp;AF$9)/DAY(EOMONTH(AF$9,0)))*2*AF91-AE161&lt;0,0,(SUMIFS(условия!$200:$200,условия!$8:$8,"&lt;="&amp;AF$9,условия!$9:$9,"&gt;="&amp;AF$9)/DAY(EOMONTH(AF$9,0)))*2*AF91-AE161))))</f>
        <v>216.66839040000002</v>
      </c>
      <c r="AG161" s="33">
        <f>IF(AG$9="",0,IF(OR(AG$9="",DAY(EOMONTH(AG$9,0))=0),0,IF((AG91-((SUMIFS(условия!$200:$200,условия!$8:$8,"&lt;="&amp;AG$9,условия!$9:$9,"&gt;="&amp;AG$9)/DAY(EOMONTH(AG$9,0)))*2*AG91-AF161))&lt;0,AF161+AG91,IF((SUMIFS(условия!$200:$200,условия!$8:$8,"&lt;="&amp;AG$9,условия!$9:$9,"&gt;="&amp;AG$9)/DAY(EOMONTH(AG$9,0)))*2*AG91-AF161&lt;0,0,(SUMIFS(условия!$200:$200,условия!$8:$8,"&lt;="&amp;AG$9,условия!$9:$9,"&gt;="&amp;AG$9)/DAY(EOMONTH(AG$9,0)))*2*AG91-AF161))))</f>
        <v>470.9468736</v>
      </c>
      <c r="AH161" s="33">
        <f>IF(AH$9="",0,IF(OR(AH$9="",DAY(EOMONTH(AH$9,0))=0),0,IF((AH91-((SUMIFS(условия!$200:$200,условия!$8:$8,"&lt;="&amp;AH$9,условия!$9:$9,"&gt;="&amp;AH$9)/DAY(EOMONTH(AH$9,0)))*2*AH91-AG161))&lt;0,AG161+AH91,IF((SUMIFS(условия!$200:$200,условия!$8:$8,"&lt;="&amp;AH$9,условия!$9:$9,"&gt;="&amp;AH$9)/DAY(EOMONTH(AH$9,0)))*2*AH91-AG161&lt;0,0,(SUMIFS(условия!$200:$200,условия!$8:$8,"&lt;="&amp;AH$9,условия!$9:$9,"&gt;="&amp;AH$9)/DAY(EOMONTH(AH$9,0)))*2*AH91-AG161))))</f>
        <v>764.97644160000004</v>
      </c>
      <c r="AI161" s="33">
        <f>IF(AI$9="",0,IF(OR(AI$9="",DAY(EOMONTH(AI$9,0))=0),0,IF((AI91-((SUMIFS(условия!$200:$200,условия!$8:$8,"&lt;="&amp;AI$9,условия!$9:$9,"&gt;="&amp;AI$9)/DAY(EOMONTH(AI$9,0)))*2*AI91-AH161))&lt;0,AH161+AI91,IF((SUMIFS(условия!$200:$200,условия!$8:$8,"&lt;="&amp;AI$9,условия!$9:$9,"&gt;="&amp;AI$9)/DAY(EOMONTH(AI$9,0)))*2*AI91-AH161&lt;0,0,(SUMIFS(условия!$200:$200,условия!$8:$8,"&lt;="&amp;AI$9,условия!$9:$9,"&gt;="&amp;AI$9)/DAY(EOMONTH(AI$9,0)))*2*AI91-AH161))))</f>
        <v>1057.9783334400001</v>
      </c>
      <c r="AJ161" s="33">
        <f>IF(AJ$9="",0,IF(OR(AJ$9="",DAY(EOMONTH(AJ$9,0))=0),0,IF((AJ91-((SUMIFS(условия!$200:$200,условия!$8:$8,"&lt;="&amp;AJ$9,условия!$9:$9,"&gt;="&amp;AJ$9)/DAY(EOMONTH(AJ$9,0)))*2*AJ91-AI161))&lt;0,AI161+AJ91,IF((SUMIFS(условия!$200:$200,условия!$8:$8,"&lt;="&amp;AJ$9,условия!$9:$9,"&gt;="&amp;AJ$9)/DAY(EOMONTH(AJ$9,0)))*2*AJ91-AI161&lt;0,0,(SUMIFS(условия!$200:$200,условия!$8:$8,"&lt;="&amp;AJ$9,условия!$9:$9,"&gt;="&amp;AJ$9)/DAY(EOMONTH(AJ$9,0)))*2*AJ91-AI161))))</f>
        <v>0</v>
      </c>
      <c r="AK161" s="33">
        <f>IF(AK$9="",0,IF(OR(AK$9="",DAY(EOMONTH(AK$9,0))=0),0,IF((AK91-((SUMIFS(условия!$200:$200,условия!$8:$8,"&lt;="&amp;AK$9,условия!$9:$9,"&gt;="&amp;AK$9)/DAY(EOMONTH(AK$9,0)))*2*AK91-AJ161))&lt;0,AJ161+AK91,IF((SUMIFS(условия!$200:$200,условия!$8:$8,"&lt;="&amp;AK$9,условия!$9:$9,"&gt;="&amp;AK$9)/DAY(EOMONTH(AK$9,0)))*2*AK91-AJ161&lt;0,0,(SUMIFS(условия!$200:$200,условия!$8:$8,"&lt;="&amp;AK$9,условия!$9:$9,"&gt;="&amp;AK$9)/DAY(EOMONTH(AK$9,0)))*2*AK91-AJ161))))</f>
        <v>182.26978560000003</v>
      </c>
      <c r="AL161" s="33">
        <f>IF(AL$9="",0,IF(OR(AL$9="",DAY(EOMONTH(AL$9,0))=0),0,IF((AL91-((SUMIFS(условия!$200:$200,условия!$8:$8,"&lt;="&amp;AL$9,условия!$9:$9,"&gt;="&amp;AL$9)/DAY(EOMONTH(AL$9,0)))*2*AL91-AK161))&lt;0,AK161+AL91,IF((SUMIFS(условия!$200:$200,условия!$8:$8,"&lt;="&amp;AL$9,условия!$9:$9,"&gt;="&amp;AL$9)/DAY(EOMONTH(AL$9,0)))*2*AL91-AK161&lt;0,0,(SUMIFS(условия!$200:$200,условия!$8:$8,"&lt;="&amp;AL$9,условия!$9:$9,"&gt;="&amp;AL$9)/DAY(EOMONTH(AL$9,0)))*2*AL91-AK161))))</f>
        <v>365.6100672</v>
      </c>
      <c r="AM161" s="33">
        <f>IF(AM$9="",0,IF(OR(AM$9="",DAY(EOMONTH(AM$9,0))=0),0,IF((AM91-((SUMIFS(условия!$200:$200,условия!$8:$8,"&lt;="&amp;AM$9,условия!$9:$9,"&gt;="&amp;AM$9)/DAY(EOMONTH(AM$9,0)))*2*AM91-AL161))&lt;0,AL161+AM91,IF((SUMIFS(условия!$200:$200,условия!$8:$8,"&lt;="&amp;AM$9,условия!$9:$9,"&gt;="&amp;AM$9)/DAY(EOMONTH(AM$9,0)))*2*AM91-AL161&lt;0,0,(SUMIFS(условия!$200:$200,условия!$8:$8,"&lt;="&amp;AM$9,условия!$9:$9,"&gt;="&amp;AM$9)/DAY(EOMONTH(AM$9,0)))*2*AM91-AL161))))</f>
        <v>586.90300032000005</v>
      </c>
      <c r="AN161" s="33">
        <f>IF(AN$9="",0,IF(OR(AN$9="",DAY(EOMONTH(AN$9,0))=0),0,IF((AN91-((SUMIFS(условия!$200:$200,условия!$8:$8,"&lt;="&amp;AN$9,условия!$9:$9,"&gt;="&amp;AN$9)/DAY(EOMONTH(AN$9,0)))*2*AN91-AM161))&lt;0,AM161+AN91,IF((SUMIFS(условия!$200:$200,условия!$8:$8,"&lt;="&amp;AN$9,условия!$9:$9,"&gt;="&amp;AN$9)/DAY(EOMONTH(AN$9,0)))*2*AN91-AM161&lt;0,0,(SUMIFS(условия!$200:$200,условия!$8:$8,"&lt;="&amp;AN$9,условия!$9:$9,"&gt;="&amp;AN$9)/DAY(EOMONTH(AN$9,0)))*2*AN91-AM161))))</f>
        <v>922.69618560000004</v>
      </c>
      <c r="AO161" s="33">
        <f>IF(AO$9="",0,IF(OR(AO$9="",DAY(EOMONTH(AO$9,0))=0),0,IF((AO91-((SUMIFS(условия!$200:$200,условия!$8:$8,"&lt;="&amp;AO$9,условия!$9:$9,"&gt;="&amp;AO$9)/DAY(EOMONTH(AO$9,0)))*2*AO91-AN161))&lt;0,AN161+AO91,IF((SUMIFS(условия!$200:$200,условия!$8:$8,"&lt;="&amp;AO$9,условия!$9:$9,"&gt;="&amp;AO$9)/DAY(EOMONTH(AO$9,0)))*2*AO91-AN161&lt;0,0,(SUMIFS(условия!$200:$200,условия!$8:$8,"&lt;="&amp;AO$9,условия!$9:$9,"&gt;="&amp;AO$9)/DAY(EOMONTH(AO$9,0)))*2*AO91-AN161))))</f>
        <v>1380.69719424</v>
      </c>
      <c r="AP161" s="33">
        <f>IF(AP$9="",0,IF(OR(AP$9="",DAY(EOMONTH(AP$9,0))=0),0,IF((AP91-((SUMIFS(условия!$200:$200,условия!$8:$8,"&lt;="&amp;AP$9,условия!$9:$9,"&gt;="&amp;AP$9)/DAY(EOMONTH(AP$9,0)))*2*AP91-AO161))&lt;0,AO161+AP91,IF((SUMIFS(условия!$200:$200,условия!$8:$8,"&lt;="&amp;AP$9,условия!$9:$9,"&gt;="&amp;AP$9)/DAY(EOMONTH(AP$9,0)))*2*AP91-AO161&lt;0,0,(SUMIFS(условия!$200:$200,условия!$8:$8,"&lt;="&amp;AP$9,условия!$9:$9,"&gt;="&amp;AP$9)/DAY(EOMONTH(AP$9,0)))*2*AP91-AO161))))</f>
        <v>1966.0444070399999</v>
      </c>
      <c r="AQ161" s="33">
        <f>IF(AQ$9="",0,IF(OR(AQ$9="",DAY(EOMONTH(AQ$9,0))=0),0,IF((AQ91-((SUMIFS(условия!$200:$200,условия!$8:$8,"&lt;="&amp;AQ$9,условия!$9:$9,"&gt;="&amp;AQ$9)/DAY(EOMONTH(AQ$9,0)))*2*AQ91-AP161))&lt;0,AP161+AQ91,IF((SUMIFS(условия!$200:$200,условия!$8:$8,"&lt;="&amp;AQ$9,условия!$9:$9,"&gt;="&amp;AQ$9)/DAY(EOMONTH(AQ$9,0)))*2*AQ91-AP161&lt;0,0,(SUMIFS(условия!$200:$200,условия!$8:$8,"&lt;="&amp;AQ$9,условия!$9:$9,"&gt;="&amp;AQ$9)/DAY(EOMONTH(AQ$9,0)))*2*AQ91-AP161))))</f>
        <v>45.106787798709092</v>
      </c>
      <c r="AR161" s="33">
        <f>IF(AR$9="",0,IF(OR(AR$9="",DAY(EOMONTH(AR$9,0))=0),0,IF((AR91-((SUMIFS(условия!$200:$200,условия!$8:$8,"&lt;="&amp;AR$9,условия!$9:$9,"&gt;="&amp;AR$9)/DAY(EOMONTH(AR$9,0)))*2*AR91-AQ161))&lt;0,AQ161+AR91,IF((SUMIFS(условия!$200:$200,условия!$8:$8,"&lt;="&amp;AR$9,условия!$9:$9,"&gt;="&amp;AR$9)/DAY(EOMONTH(AR$9,0)))*2*AR91-AQ161&lt;0,0,(SUMIFS(условия!$200:$200,условия!$8:$8,"&lt;="&amp;AR$9,условия!$9:$9,"&gt;="&amp;AR$9)/DAY(EOMONTH(AR$9,0)))*2*AR91-AQ161))))</f>
        <v>555.93860859870915</v>
      </c>
      <c r="AS161" s="33">
        <f>IF(AS$9="",0,IF(OR(AS$9="",DAY(EOMONTH(AS$9,0))=0),0,IF((AS91-((SUMIFS(условия!$200:$200,условия!$8:$8,"&lt;="&amp;AS$9,условия!$9:$9,"&gt;="&amp;AS$9)/DAY(EOMONTH(AS$9,0)))*2*AS91-AR161))&lt;0,AR161+AS91,IF((SUMIFS(условия!$200:$200,условия!$8:$8,"&lt;="&amp;AS$9,условия!$9:$9,"&gt;="&amp;AS$9)/DAY(EOMONTH(AS$9,0)))*2*AS91-AR161&lt;0,0,(SUMIFS(условия!$200:$200,условия!$8:$8,"&lt;="&amp;AS$9,условия!$9:$9,"&gt;="&amp;AS$9)/DAY(EOMONTH(AS$9,0)))*2*AS91-AR161))))</f>
        <v>1154.8594149987093</v>
      </c>
      <c r="AT161" s="33">
        <f>IF(AT$9="",0,IF(OR(AT$9="",DAY(EOMONTH(AT$9,0))=0),0,IF((AT91-((SUMIFS(условия!$200:$200,условия!$8:$8,"&lt;="&amp;AT$9,условия!$9:$9,"&gt;="&amp;AT$9)/DAY(EOMONTH(AT$9,0)))*2*AT91-AS161))&lt;0,AS161+AT91,IF((SUMIFS(условия!$200:$200,условия!$8:$8,"&lt;="&amp;AT$9,условия!$9:$9,"&gt;="&amp;AT$9)/DAY(EOMONTH(AT$9,0)))*2*AT91-AS161&lt;0,0,(SUMIFS(условия!$200:$200,условия!$8:$8,"&lt;="&amp;AT$9,условия!$9:$9,"&gt;="&amp;AT$9)/DAY(EOMONTH(AT$9,0)))*2*AT91-AS161))))</f>
        <v>1846.0839909987094</v>
      </c>
      <c r="AU161" s="33">
        <f>IF(AU$9="",0,IF(OR(AU$9="",DAY(EOMONTH(AU$9,0))=0),0,IF((AU91-((SUMIFS(условия!$200:$200,условия!$8:$8,"&lt;="&amp;AU$9,условия!$9:$9,"&gt;="&amp;AU$9)/DAY(EOMONTH(AU$9,0)))*2*AU91-AT161))&lt;0,AT161+AU91,IF((SUMIFS(условия!$200:$200,условия!$8:$8,"&lt;="&amp;AU$9,условия!$9:$9,"&gt;="&amp;AU$9)/DAY(EOMONTH(AU$9,0)))*2*AU91-AT161&lt;0,0,(SUMIFS(условия!$200:$200,условия!$8:$8,"&lt;="&amp;AU$9,условия!$9:$9,"&gt;="&amp;AU$9)/DAY(EOMONTH(AU$9,0)))*2*AU91-AT161))))</f>
        <v>2535.2854706787093</v>
      </c>
      <c r="AV161" s="33">
        <f>IF(AV$9="",0,IF(OR(AV$9="",DAY(EOMONTH(AV$9,0))=0),0,IF((AV91-((SUMIFS(условия!$200:$200,условия!$8:$8,"&lt;="&amp;AV$9,условия!$9:$9,"&gt;="&amp;AV$9)/DAY(EOMONTH(AV$9,0)))*2*AV91-AU161))&lt;0,AU161+AV91,IF((SUMIFS(условия!$200:$200,условия!$8:$8,"&lt;="&amp;AV$9,условия!$9:$9,"&gt;="&amp;AV$9)/DAY(EOMONTH(AV$9,0)))*2*AV91-AU161&lt;0,0,(SUMIFS(условия!$200:$200,условия!$8:$8,"&lt;="&amp;AV$9,условия!$9:$9,"&gt;="&amp;AV$9)/DAY(EOMONTH(AV$9,0)))*2*AV91-AU161))))</f>
        <v>0</v>
      </c>
      <c r="AW161" s="33">
        <f>IF(AW$9="",0,IF(OR(AW$9="",DAY(EOMONTH(AW$9,0))=0),0,IF((AW91-((SUMIFS(условия!$200:$200,условия!$8:$8,"&lt;="&amp;AW$9,условия!$9:$9,"&gt;="&amp;AW$9)/DAY(EOMONTH(AW$9,0)))*2*AW91-AV161))&lt;0,AV161+AW91,IF((SUMIFS(условия!$200:$200,условия!$8:$8,"&lt;="&amp;AW$9,условия!$9:$9,"&gt;="&amp;AW$9)/DAY(EOMONTH(AW$9,0)))*2*AW91-AV161&lt;0,0,(SUMIFS(условия!$200:$200,условия!$8:$8,"&lt;="&amp;AW$9,условия!$9:$9,"&gt;="&amp;AW$9)/DAY(EOMONTH(AW$9,0)))*2*AW91-AV161))))</f>
        <v>429.06501120000001</v>
      </c>
      <c r="AX161" s="33">
        <f>IF(AX$9="",0,IF(OR(AX$9="",DAY(EOMONTH(AX$9,0))=0),0,IF((AX91-((SUMIFS(условия!$200:$200,условия!$8:$8,"&lt;="&amp;AX$9,условия!$9:$9,"&gt;="&amp;AX$9)/DAY(EOMONTH(AX$9,0)))*2*AX91-AW161))&lt;0,AW161+AX91,IF((SUMIFS(условия!$200:$200,условия!$8:$8,"&lt;="&amp;AX$9,условия!$9:$9,"&gt;="&amp;AX$9)/DAY(EOMONTH(AX$9,0)))*2*AX91-AW161&lt;0,0,(SUMIFS(условия!$200:$200,условия!$8:$8,"&lt;="&amp;AX$9,условия!$9:$9,"&gt;="&amp;AX$9)/DAY(EOMONTH(AX$9,0)))*2*AX91-AW161))))</f>
        <v>860.23741439999992</v>
      </c>
      <c r="AY161" s="33">
        <f>IF(AY$9="",0,IF(OR(AY$9="",DAY(EOMONTH(AY$9,0))=0),0,IF((AY91-((SUMIFS(условия!$200:$200,условия!$8:$8,"&lt;="&amp;AY$9,условия!$9:$9,"&gt;="&amp;AY$9)/DAY(EOMONTH(AY$9,0)))*2*AY91-AX161))&lt;0,AX161+AY91,IF((SUMIFS(условия!$200:$200,условия!$8:$8,"&lt;="&amp;AY$9,условия!$9:$9,"&gt;="&amp;AY$9)/DAY(EOMONTH(AY$9,0)))*2*AY91-AX161&lt;0,0,(SUMIFS(условия!$200:$200,условия!$8:$8,"&lt;="&amp;AY$9,условия!$9:$9,"&gt;="&amp;AY$9)/DAY(EOMONTH(AY$9,0)))*2*AY91-AX161))))</f>
        <v>1380.1731686399999</v>
      </c>
      <c r="AZ161" s="33">
        <f>IF(AZ$9="",0,IF(OR(AZ$9="",DAY(EOMONTH(AZ$9,0))=0),0,IF((AZ91-((SUMIFS(условия!$200:$200,условия!$8:$8,"&lt;="&amp;AZ$9,условия!$9:$9,"&gt;="&amp;AZ$9)/DAY(EOMONTH(AZ$9,0)))*2*AZ91-AY161))&lt;0,AY161+AZ91,IF((SUMIFS(условия!$200:$200,условия!$8:$8,"&lt;="&amp;AZ$9,условия!$9:$9,"&gt;="&amp;AZ$9)/DAY(EOMONTH(AZ$9,0)))*2*AZ91-AY161&lt;0,0,(SUMIFS(условия!$200:$200,условия!$8:$8,"&lt;="&amp;AZ$9,условия!$9:$9,"&gt;="&amp;AZ$9)/DAY(EOMONTH(AZ$9,0)))*2*AZ91-AY161))))</f>
        <v>2167.6634111999997</v>
      </c>
      <c r="BA161" s="33">
        <f>IF(BA$9="",0,IF(OR(BA$9="",DAY(EOMONTH(BA$9,0))=0),0,IF((BA91-((SUMIFS(условия!$200:$200,условия!$8:$8,"&lt;="&amp;BA$9,условия!$9:$9,"&gt;="&amp;BA$9)/DAY(EOMONTH(BA$9,0)))*2*BA91-AZ161))&lt;0,AZ161+BA91,IF((SUMIFS(условия!$200:$200,условия!$8:$8,"&lt;="&amp;BA$9,условия!$9:$9,"&gt;="&amp;BA$9)/DAY(EOMONTH(BA$9,0)))*2*BA91-AZ161&lt;0,0,(SUMIFS(условия!$200:$200,условия!$8:$8,"&lt;="&amp;BA$9,условия!$9:$9,"&gt;="&amp;BA$9)/DAY(EOMONTH(BA$9,0)))*2*BA91-AZ161))))</f>
        <v>3237.8813644799993</v>
      </c>
      <c r="BB161" s="33">
        <f>IF(BB$9="",0,IF(OR(BB$9="",DAY(EOMONTH(BB$9,0))=0),0,IF((BB91-((SUMIFS(условия!$200:$200,условия!$8:$8,"&lt;="&amp;BB$9,условия!$9:$9,"&gt;="&amp;BB$9)/DAY(EOMONTH(BB$9,0)))*2*BB91-BA161))&lt;0,BA161+BB91,IF((SUMIFS(условия!$200:$200,условия!$8:$8,"&lt;="&amp;BB$9,условия!$9:$9,"&gt;="&amp;BB$9)/DAY(EOMONTH(BB$9,0)))*2*BB91-BA161&lt;0,0,(SUMIFS(условия!$200:$200,условия!$8:$8,"&lt;="&amp;BB$9,условия!$9:$9,"&gt;="&amp;BB$9)/DAY(EOMONTH(BB$9,0)))*2*BB91-BA161))))</f>
        <v>4600.9425100799999</v>
      </c>
      <c r="BC161" s="33">
        <f>IF(BC$9="",0,IF(OR(BC$9="",DAY(EOMONTH(BC$9,0))=0),0,IF((BC91-((SUMIFS(условия!$200:$200,условия!$8:$8,"&lt;="&amp;BC$9,условия!$9:$9,"&gt;="&amp;BC$9)/DAY(EOMONTH(BC$9,0)))*2*BC91-BB161))&lt;0,BB161+BC91,IF((SUMIFS(условия!$200:$200,условия!$8:$8,"&lt;="&amp;BC$9,условия!$9:$9,"&gt;="&amp;BC$9)/DAY(EOMONTH(BC$9,0)))*2*BC91-BB161&lt;0,0,(SUMIFS(условия!$200:$200,условия!$8:$8,"&lt;="&amp;BC$9,условия!$9:$9,"&gt;="&amp;BC$9)/DAY(EOMONTH(BC$9,0)))*2*BC91-BB161))))</f>
        <v>65.231260242580902</v>
      </c>
      <c r="BD161" s="33">
        <f>IF(BD$9="",0,IF(OR(BD$9="",DAY(EOMONTH(BD$9,0))=0),0,IF((BD91-((SUMIFS(условия!$200:$200,условия!$8:$8,"&lt;="&amp;BD$9,условия!$9:$9,"&gt;="&amp;BD$9)/DAY(EOMONTH(BD$9,0)))*2*BD91-BC161))&lt;0,BC161+BD91,IF((SUMIFS(условия!$200:$200,условия!$8:$8,"&lt;="&amp;BD$9,условия!$9:$9,"&gt;="&amp;BD$9)/DAY(EOMONTH(BD$9,0)))*2*BD91-BC161&lt;0,0,(SUMIFS(условия!$200:$200,условия!$8:$8,"&lt;="&amp;BD$9,условия!$9:$9,"&gt;="&amp;BD$9)/DAY(EOMONTH(BD$9,0)))*2*BD91-BC161))))</f>
        <v>1136.3817344825811</v>
      </c>
      <c r="BE161" s="33">
        <f>IF(BE$9="",0,IF(OR(BE$9="",DAY(EOMONTH(BE$9,0))=0),0,IF((BE91-((SUMIFS(условия!$200:$200,условия!$8:$8,"&lt;="&amp;BE$9,условия!$9:$9,"&gt;="&amp;BE$9)/DAY(EOMONTH(BE$9,0)))*2*BE91-BD161))&lt;0,BD161+BE91,IF((SUMIFS(условия!$200:$200,условия!$8:$8,"&lt;="&amp;BE$9,условия!$9:$9,"&gt;="&amp;BE$9)/DAY(EOMONTH(BE$9,0)))*2*BE91-BD161&lt;0,0,(SUMIFS(условия!$200:$200,условия!$8:$8,"&lt;="&amp;BE$9,условия!$9:$9,"&gt;="&amp;BE$9)/DAY(EOMONTH(BE$9,0)))*2*BE91-BD161))))</f>
        <v>2392.2438004025817</v>
      </c>
      <c r="BF161" s="33">
        <f>IF(BF$9="",0,IF(OR(BF$9="",DAY(EOMONTH(BF$9,0))=0),0,IF((BF91-((SUMIFS(условия!$200:$200,условия!$8:$8,"&lt;="&amp;BF$9,условия!$9:$9,"&gt;="&amp;BF$9)/DAY(EOMONTH(BF$9,0)))*2*BF91-BE161))&lt;0,BE161+BF91,IF((SUMIFS(условия!$200:$200,условия!$8:$8,"&lt;="&amp;BF$9,условия!$9:$9,"&gt;="&amp;BF$9)/DAY(EOMONTH(BF$9,0)))*2*BF91-BE161&lt;0,0,(SUMIFS(условия!$200:$200,условия!$8:$8,"&lt;="&amp;BF$9,условия!$9:$9,"&gt;="&amp;BF$9)/DAY(EOMONTH(BF$9,0)))*2*BF91-BE161))))</f>
        <v>3841.6553332025819</v>
      </c>
      <c r="BG161" s="33">
        <f>IF(BG$9="",0,IF(OR(BG$9="",DAY(EOMONTH(BG$9,0))=0),0,IF((BG91-((SUMIFS(условия!$200:$200,условия!$8:$8,"&lt;="&amp;BG$9,условия!$9:$9,"&gt;="&amp;BG$9)/DAY(EOMONTH(BG$9,0)))*2*BG91-BF161))&lt;0,BF161+BG91,IF((SUMIFS(условия!$200:$200,условия!$8:$8,"&lt;="&amp;BG$9,условия!$9:$9,"&gt;="&amp;BG$9)/DAY(EOMONTH(BG$9,0)))*2*BG91-BF161&lt;0,0,(SUMIFS(условия!$200:$200,условия!$8:$8,"&lt;="&amp;BG$9,условия!$9:$9,"&gt;="&amp;BG$9)/DAY(EOMONTH(BG$9,0)))*2*BG91-BF161))))</f>
        <v>5286.8246859065821</v>
      </c>
      <c r="BH161" s="33">
        <f>IF(BH$9="",0,IF(OR(BH$9="",DAY(EOMONTH(BH$9,0))=0),0,IF((BH91-((SUMIFS(условия!$200:$200,условия!$8:$8,"&lt;="&amp;BH$9,условия!$9:$9,"&gt;="&amp;BH$9)/DAY(EOMONTH(BH$9,0)))*2*BH91-BG161))&lt;0,BG161+BH91,IF((SUMIFS(условия!$200:$200,условия!$8:$8,"&lt;="&amp;BH$9,условия!$9:$9,"&gt;="&amp;BH$9)/DAY(EOMONTH(BH$9,0)))*2*BH91-BG161&lt;0,0,(SUMIFS(условия!$200:$200,условия!$8:$8,"&lt;="&amp;BH$9,условия!$9:$9,"&gt;="&amp;BH$9)/DAY(EOMONTH(BH$9,0)))*2*BH91-BG161))))</f>
        <v>0</v>
      </c>
      <c r="BI161" s="33">
        <f>IF(BI$9="",0,IF(OR(BI$9="",DAY(EOMONTH(BI$9,0))=0),0,IF((BI91-((SUMIFS(условия!$200:$200,условия!$8:$8,"&lt;="&amp;BI$9,условия!$9:$9,"&gt;="&amp;BI$9)/DAY(EOMONTH(BI$9,0)))*2*BI91-BH161))&lt;0,BH161+BI91,IF((SUMIFS(условия!$200:$200,условия!$8:$8,"&lt;="&amp;BI$9,условия!$9:$9,"&gt;="&amp;BI$9)/DAY(EOMONTH(BI$9,0)))*2*BI91-BH161&lt;0,0,(SUMIFS(условия!$200:$200,условия!$8:$8,"&lt;="&amp;BI$9,условия!$9:$9,"&gt;="&amp;BI$9)/DAY(EOMONTH(BI$9,0)))*2*BI91-BH161))))</f>
        <v>899.69569536000017</v>
      </c>
      <c r="BJ161" s="33">
        <f>IF(BJ$9="",0,IF(OR(BJ$9="",DAY(EOMONTH(BJ$9,0))=0),0,IF((BJ91-((SUMIFS(условия!$200:$200,условия!$8:$8,"&lt;="&amp;BJ$9,условия!$9:$9,"&gt;="&amp;BJ$9)/DAY(EOMONTH(BJ$9,0)))*2*BJ91-BI161))&lt;0,BI161+BJ91,IF((SUMIFS(условия!$200:$200,условия!$8:$8,"&lt;="&amp;BJ$9,условия!$9:$9,"&gt;="&amp;BJ$9)/DAY(EOMONTH(BJ$9,0)))*2*BJ91-BI161&lt;0,0,(SUMIFS(условия!$200:$200,условия!$8:$8,"&lt;="&amp;BJ$9,условия!$9:$9,"&gt;="&amp;BJ$9)/DAY(EOMONTH(BJ$9,0)))*2*BJ91-BI161))))</f>
        <v>1803.8103283200003</v>
      </c>
      <c r="BK161" s="33">
        <f>IF(BK$9="",0,IF(OR(BK$9="",DAY(EOMONTH(BK$9,0))=0),0,IF((BK91-((SUMIFS(условия!$200:$200,условия!$8:$8,"&lt;="&amp;BK$9,условия!$9:$9,"&gt;="&amp;BK$9)/DAY(EOMONTH(BK$9,0)))*2*BK91-BJ161))&lt;0,BJ161+BK91,IF((SUMIFS(условия!$200:$200,условия!$8:$8,"&lt;="&amp;BK$9,условия!$9:$9,"&gt;="&amp;BK$9)/DAY(EOMONTH(BK$9,0)))*2*BK91-BJ161&lt;0,0,(SUMIFS(условия!$200:$200,условия!$8:$8,"&lt;="&amp;BK$9,условия!$9:$9,"&gt;="&amp;BK$9)/DAY(EOMONTH(BK$9,0)))*2*BK91-BJ161))))</f>
        <v>2894.0506129920004</v>
      </c>
      <c r="BL161" s="33">
        <f>IF(BL$9="",0,IF(OR(BL$9="",DAY(EOMONTH(BL$9,0))=0),0,IF((BL91-((SUMIFS(условия!$200:$200,условия!$8:$8,"&lt;="&amp;BL$9,условия!$9:$9,"&gt;="&amp;BL$9)/DAY(EOMONTH(BL$9,0)))*2*BL91-BK161))&lt;0,BK161+BL91,IF((SUMIFS(условия!$200:$200,условия!$8:$8,"&lt;="&amp;BL$9,условия!$9:$9,"&gt;="&amp;BL$9)/DAY(EOMONTH(BL$9,0)))*2*BL91-BK161&lt;0,0,(SUMIFS(условия!$200:$200,условия!$8:$8,"&lt;="&amp;BL$9,условия!$9:$9,"&gt;="&amp;BL$9)/DAY(EOMONTH(BL$9,0)))*2*BL91-BK161))))</f>
        <v>4545.3192153600012</v>
      </c>
      <c r="BM161" s="33">
        <f>IF(BM$9="",0,IF(OR(BM$9="",DAY(EOMONTH(BM$9,0))=0),0,IF((BM91-((SUMIFS(условия!$200:$200,условия!$8:$8,"&lt;="&amp;BM$9,условия!$9:$9,"&gt;="&amp;BM$9)/DAY(EOMONTH(BM$9,0)))*2*BM91-BL161))&lt;0,BL161+BM91,IF((SUMIFS(условия!$200:$200,условия!$8:$8,"&lt;="&amp;BM$9,условия!$9:$9,"&gt;="&amp;BM$9)/DAY(EOMONTH(BM$9,0)))*2*BM91-BL161&lt;0,0,(SUMIFS(условия!$200:$200,условия!$8:$8,"&lt;="&amp;BM$9,условия!$9:$9,"&gt;="&amp;BM$9)/DAY(EOMONTH(BM$9,0)))*2*BM91-BL161))))</f>
        <v>6789.4324861440018</v>
      </c>
      <c r="BN161" s="33">
        <f>IF(BN$9="",0,IF(OR(BN$9="",DAY(EOMONTH(BN$9,0))=0),0,IF((BN91-((SUMIFS(условия!$200:$200,условия!$8:$8,"&lt;="&amp;BN$9,условия!$9:$9,"&gt;="&amp;BN$9)/DAY(EOMONTH(BN$9,0)))*2*BN91-BM161))&lt;0,BM161+BN91,IF((SUMIFS(условия!$200:$200,условия!$8:$8,"&lt;="&amp;BN$9,условия!$9:$9,"&gt;="&amp;BN$9)/DAY(EOMONTH(BN$9,0)))*2*BN91-BM161&lt;0,0,(SUMIFS(условия!$200:$200,условия!$8:$8,"&lt;="&amp;BN$9,условия!$9:$9,"&gt;="&amp;BN$9)/DAY(EOMONTH(BN$9,0)))*2*BN91-BM161))))</f>
        <v>9647.6013258240018</v>
      </c>
      <c r="BO161" s="33">
        <f>IF(BO$9="",0,IF(OR(BO$9="",DAY(EOMONTH(BO$9,0))=0),0,IF((BO91-((SUMIFS(условия!$200:$200,условия!$8:$8,"&lt;="&amp;BO$9,условия!$9:$9,"&gt;="&amp;BO$9)/DAY(EOMONTH(BO$9,0)))*2*BO91-BN161))&lt;0,BN161+BO91,IF((SUMIFS(условия!$200:$200,условия!$8:$8,"&lt;="&amp;BO$9,условия!$9:$9,"&gt;="&amp;BO$9)/DAY(EOMONTH(BO$9,0)))*2*BO91-BN161&lt;0,0,(SUMIFS(условия!$200:$200,условия!$8:$8,"&lt;="&amp;BO$9,условия!$9:$9,"&gt;="&amp;BO$9)/DAY(EOMONTH(BO$9,0)))*2*BO91-BN161))))</f>
        <v>136.78179882116274</v>
      </c>
      <c r="BP161" s="33">
        <f>IF(BP$9="",0,IF(OR(BP$9="",DAY(EOMONTH(BP$9,0))=0),0,IF((BP91-((SUMIFS(условия!$200:$200,условия!$8:$8,"&lt;="&amp;BP$9,условия!$9:$9,"&gt;="&amp;BP$9)/DAY(EOMONTH(BP$9,0)))*2*BP91-BO161))&lt;0,BO161+BP91,IF((SUMIFS(условия!$200:$200,условия!$8:$8,"&lt;="&amp;BP$9,условия!$9:$9,"&gt;="&amp;BP$9)/DAY(EOMONTH(BP$9,0)))*2*BP91-BO161&lt;0,0,(SUMIFS(условия!$200:$200,условия!$8:$8,"&lt;="&amp;BP$9,условия!$9:$9,"&gt;="&amp;BP$9)/DAY(EOMONTH(BP$9,0)))*2*BP91-BO161))))</f>
        <v>1752.6887999603628</v>
      </c>
      <c r="BQ161" s="33">
        <f>IF(BQ$9="",0,IF(OR(BQ$9="",DAY(EOMONTH(BQ$9,0))=0),0,IF((BQ91-((SUMIFS(условия!$200:$200,условия!$8:$8,"&lt;="&amp;BQ$9,условия!$9:$9,"&gt;="&amp;BQ$9)/DAY(EOMONTH(BQ$9,0)))*2*BQ91-BP161))&lt;0,BP161+BQ91,IF((SUMIFS(условия!$200:$200,условия!$8:$8,"&lt;="&amp;BQ$9,условия!$9:$9,"&gt;="&amp;BQ$9)/DAY(EOMONTH(BQ$9,0)))*2*BQ91-BP161&lt;0,0,(SUMIFS(условия!$200:$200,условия!$8:$8,"&lt;="&amp;BQ$9,условия!$9:$9,"&gt;="&amp;BQ$9)/DAY(EOMONTH(BQ$9,0)))*2*BQ91-BP161))))</f>
        <v>3647.2464308339631</v>
      </c>
      <c r="BR161" s="33">
        <f>IF(BR$9="",0,IF(OR(BR$9="",DAY(EOMONTH(BR$9,0))=0),0,IF((BR91-((SUMIFS(условия!$200:$200,условия!$8:$8,"&lt;="&amp;BR$9,условия!$9:$9,"&gt;="&amp;BR$9)/DAY(EOMONTH(BR$9,0)))*2*BR91-BQ161))&lt;0,BQ161+BR91,IF((SUMIFS(условия!$200:$200,условия!$8:$8,"&lt;="&amp;BR$9,условия!$9:$9,"&gt;="&amp;BR$9)/DAY(EOMONTH(BR$9,0)))*2*BR91-BQ161&lt;0,0,(SUMIFS(условия!$200:$200,условия!$8:$8,"&lt;="&amp;BR$9,условия!$9:$9,"&gt;="&amp;BR$9)/DAY(EOMONTH(BR$9,0)))*2*BR91-BQ161))))</f>
        <v>5833.7872574579633</v>
      </c>
      <c r="BS161" s="33">
        <f>IF(BS$9="",0,IF(OR(BS$9="",DAY(EOMONTH(BS$9,0))=0),0,IF((BS91-((SUMIFS(условия!$200:$200,условия!$8:$8,"&lt;="&amp;BS$9,условия!$9:$9,"&gt;="&amp;BS$9)/DAY(EOMONTH(BS$9,0)))*2*BS91-BR161))&lt;0,BR161+BS91,IF((SUMIFS(условия!$200:$200,условия!$8:$8,"&lt;="&amp;BS$9,условия!$9:$9,"&gt;="&amp;BS$9)/DAY(EOMONTH(BS$9,0)))*2*BS91-BR161&lt;0,0,(SUMIFS(условия!$200:$200,условия!$8:$8,"&lt;="&amp;BS$9,условия!$9:$9,"&gt;="&amp;BS$9)/DAY(EOMONTH(BS$9,0)))*2*BS91-BR161))))</f>
        <v>8013.9284523942833</v>
      </c>
      <c r="BT161" s="33">
        <f>IF(BT$9="",0,IF(OR(BT$9="",DAY(EOMONTH(BT$9,0))=0),0,IF((BT91-((SUMIFS(условия!$200:$200,условия!$8:$8,"&lt;="&amp;BT$9,условия!$9:$9,"&gt;="&amp;BT$9)/DAY(EOMONTH(BT$9,0)))*2*BT91-BS161))&lt;0,BS161+BT91,IF((SUMIFS(условия!$200:$200,условия!$8:$8,"&lt;="&amp;BT$9,условия!$9:$9,"&gt;="&amp;BT$9)/DAY(EOMONTH(BT$9,0)))*2*BT91-BS161&lt;0,0,(SUMIFS(условия!$200:$200,условия!$8:$8,"&lt;="&amp;BT$9,условия!$9:$9,"&gt;="&amp;BT$9)/DAY(EOMONTH(BT$9,0)))*2*BT91-BS161))))</f>
        <v>0</v>
      </c>
      <c r="BU161" s="33">
        <f>IF(BU$9="",0,IF(OR(BU$9="",DAY(EOMONTH(BU$9,0))=0),0,IF((BU91-((SUMIFS(условия!$200:$200,условия!$8:$8,"&lt;="&amp;BU$9,условия!$9:$9,"&gt;="&amp;BU$9)/DAY(EOMONTH(BU$9,0)))*2*BU91-BT161))&lt;0,BT161+BU91,IF((SUMIFS(условия!$200:$200,условия!$8:$8,"&lt;="&amp;BU$9,условия!$9:$9,"&gt;="&amp;BU$9)/DAY(EOMONTH(BU$9,0)))*2*BU91-BT161&lt;0,0,(SUMIFS(условия!$200:$200,условия!$8:$8,"&lt;="&amp;BU$9,условия!$9:$9,"&gt;="&amp;BU$9)/DAY(EOMONTH(BU$9,0)))*2*BU91-BT161))))</f>
        <v>1357.2552204287999</v>
      </c>
      <c r="BV161" s="33">
        <f>IF(BV$9="",0,IF(OR(BV$9="",DAY(EOMONTH(BV$9,0))=0),0,IF((BV91-((SUMIFS(условия!$200:$200,условия!$8:$8,"&lt;="&amp;BV$9,условия!$9:$9,"&gt;="&amp;BV$9)/DAY(EOMONTH(BV$9,0)))*2*BV91-BU161))&lt;0,BU161+BV91,IF((SUMIFS(условия!$200:$200,условия!$8:$8,"&lt;="&amp;BV$9,условия!$9:$9,"&gt;="&amp;BV$9)/DAY(EOMONTH(BV$9,0)))*2*BV91-BU161&lt;0,0,(SUMIFS(условия!$200:$200,условия!$8:$8,"&lt;="&amp;BV$9,условия!$9:$9,"&gt;="&amp;BV$9)/DAY(EOMONTH(BV$9,0)))*2*BV91-BU161))))</f>
        <v>2721.1767238655998</v>
      </c>
      <c r="BW161" s="33">
        <f>IF(BW$9="",0,IF(OR(BW$9="",DAY(EOMONTH(BW$9,0))=0),0,IF((BW91-((SUMIFS(условия!$200:$200,условия!$8:$8,"&lt;="&amp;BW$9,условия!$9:$9,"&gt;="&amp;BW$9)/DAY(EOMONTH(BW$9,0)))*2*BW91-BV161))&lt;0,BV161+BW91,IF((SUMIFS(условия!$200:$200,условия!$8:$8,"&lt;="&amp;BW$9,условия!$9:$9,"&gt;="&amp;BW$9)/DAY(EOMONTH(BW$9,0)))*2*BW91-BV161&lt;0,0,(SUMIFS(условия!$200:$200,условия!$8:$8,"&lt;="&amp;BW$9,условия!$9:$9,"&gt;="&amp;BW$9)/DAY(EOMONTH(BW$9,0)))*2*BW91-BV161))))</f>
        <v>4365.8820675993593</v>
      </c>
      <c r="BX161" s="33">
        <f>IF(BX$9="",0,IF(OR(BX$9="",DAY(EOMONTH(BX$9,0))=0),0,IF((BX91-((SUMIFS(условия!$200:$200,условия!$8:$8,"&lt;="&amp;BX$9,условия!$9:$9,"&gt;="&amp;BX$9)/DAY(EOMONTH(BX$9,0)))*2*BX91-BW161))&lt;0,BW161+BX91,IF((SUMIFS(условия!$200:$200,условия!$8:$8,"&lt;="&amp;BX$9,условия!$9:$9,"&gt;="&amp;BX$9)/DAY(EOMONTH(BX$9,0)))*2*BX91-BW161&lt;0,0,(SUMIFS(условия!$200:$200,условия!$8:$8,"&lt;="&amp;BX$9,условия!$9:$9,"&gt;="&amp;BX$9)/DAY(EOMONTH(BX$9,0)))*2*BX91-BW161))))</f>
        <v>6856.9387020287995</v>
      </c>
      <c r="BY161" s="33">
        <f>IF(BY$9="",0,IF(OR(BY$9="",DAY(EOMONTH(BY$9,0))=0),0,IF((BY91-((SUMIFS(условия!$200:$200,условия!$8:$8,"&lt;="&amp;BY$9,условия!$9:$9,"&gt;="&amp;BY$9)/DAY(EOMONTH(BY$9,0)))*2*BY91-BX161))&lt;0,BX161+BY91,IF((SUMIFS(условия!$200:$200,условия!$8:$8,"&lt;="&amp;BY$9,условия!$9:$9,"&gt;="&amp;BY$9)/DAY(EOMONTH(BY$9,0)))*2*BY91-BX161&lt;0,0,(SUMIFS(условия!$200:$200,условия!$8:$8,"&lt;="&amp;BY$9,условия!$9:$9,"&gt;="&amp;BY$9)/DAY(EOMONTH(BY$9,0)))*2*BY91-BX161))))</f>
        <v>10242.343864811519</v>
      </c>
      <c r="BZ161" s="33">
        <f>IF(BZ$9="",0,IF(OR(BZ$9="",DAY(EOMONTH(BZ$9,0))=0),0,IF((BZ91-((SUMIFS(условия!$200:$200,условия!$8:$8,"&lt;="&amp;BZ$9,условия!$9:$9,"&gt;="&amp;BZ$9)/DAY(EOMONTH(BZ$9,0)))*2*BZ91-BY161))&lt;0,BY161+BZ91,IF((SUMIFS(условия!$200:$200,условия!$8:$8,"&lt;="&amp;BZ$9,условия!$9:$9,"&gt;="&amp;BZ$9)/DAY(EOMONTH(BZ$9,0)))*2*BZ91-BY161&lt;0,0,(SUMIFS(условия!$200:$200,условия!$8:$8,"&lt;="&amp;BZ$9,условия!$9:$9,"&gt;="&amp;BZ$9)/DAY(EOMONTH(BZ$9,0)))*2*BZ91-BY161))))</f>
        <v>14554.09571438592</v>
      </c>
      <c r="CA161" s="33">
        <f>IF(CA$9="",0,IF(OR(CA$9="",DAY(EOMONTH(CA$9,0))=0),0,IF((CA91-((SUMIFS(условия!$200:$200,условия!$8:$8,"&lt;="&amp;CA$9,условия!$9:$9,"&gt;="&amp;CA$9)/DAY(EOMONTH(CA$9,0)))*2*CA91-BZ161))&lt;0,BZ161+CA91,IF((SUMIFS(условия!$200:$200,условия!$8:$8,"&lt;="&amp;CA$9,условия!$9:$9,"&gt;="&amp;CA$9)/DAY(EOMONTH(CA$9,0)))*2*CA91-BZ161&lt;0,0,(SUMIFS(условия!$200:$200,условия!$8:$8,"&lt;="&amp;CA$9,условия!$9:$9,"&gt;="&amp;CA$9)/DAY(EOMONTH(CA$9,0)))*2*CA91-BZ161))))</f>
        <v>206.34511365021172</v>
      </c>
      <c r="CB161" s="33">
        <f>IF(CB$9="",0,IF(OR(CB$9="",DAY(EOMONTH(CB$9,0))=0),0,IF((CB91-((SUMIFS(условия!$200:$200,условия!$8:$8,"&lt;="&amp;CB$9,условия!$9:$9,"&gt;="&amp;CB$9)/DAY(EOMONTH(CB$9,0)))*2*CB91-CA161))&lt;0,CA161+CB91,IF((SUMIFS(условия!$200:$200,условия!$8:$8,"&lt;="&amp;CB$9,условия!$9:$9,"&gt;="&amp;CB$9)/DAY(EOMONTH(CB$9,0)))*2*CB91-CA161&lt;0,0,(SUMIFS(условия!$200:$200,условия!$8:$8,"&lt;="&amp;CB$9,условия!$9:$9,"&gt;="&amp;CB$9)/DAY(EOMONTH(CB$9,0)))*2*CB91-CA161))))</f>
        <v>2523.7855105526119</v>
      </c>
      <c r="CC161" s="33">
        <f>IF(CC$9="",0,IF(OR(CC$9="",DAY(EOMONTH(CC$9,0))=0),0,IF((CC91-((SUMIFS(условия!$200:$200,условия!$8:$8,"&lt;="&amp;CC$9,условия!$9:$9,"&gt;="&amp;CC$9)/DAY(EOMONTH(CC$9,0)))*2*CC91-CB161))&lt;0,CB161+CC91,IF((SUMIFS(условия!$200:$200,условия!$8:$8,"&lt;="&amp;CC$9,условия!$9:$9,"&gt;="&amp;CC$9)/DAY(EOMONTH(CC$9,0)))*2*CC91-CB161&lt;0,0,(SUMIFS(условия!$200:$200,условия!$8:$8,"&lt;="&amp;CC$9,условия!$9:$9,"&gt;="&amp;CC$9)/DAY(EOMONTH(CC$9,0)))*2*CC91-CB161))))</f>
        <v>5238.1948643318128</v>
      </c>
      <c r="CD161" s="33">
        <f>IF(CD$9="",0,IF(OR(CD$9="",DAY(EOMONTH(CD$9,0))=0),0,IF((CD91-((SUMIFS(условия!$200:$200,условия!$8:$8,"&lt;="&amp;CD$9,условия!$9:$9,"&gt;="&amp;CD$9)/DAY(EOMONTH(CD$9,0)))*2*CD91-CC161))&lt;0,CC161+CD91,IF((SUMIFS(условия!$200:$200,условия!$8:$8,"&lt;="&amp;CD$9,условия!$9:$9,"&gt;="&amp;CD$9)/DAY(EOMONTH(CD$9,0)))*2*CD91-CC161&lt;0,0,(SUMIFS(условия!$200:$200,условия!$8:$8,"&lt;="&amp;CD$9,условия!$9:$9,"&gt;="&amp;CD$9)/DAY(EOMONTH(CD$9,0)))*2*CD91-CC161))))</f>
        <v>8364.9001617398135</v>
      </c>
      <c r="CE161" s="33">
        <f>IF(CE$9="",0,IF(OR(CE$9="",DAY(EOMONTH(CE$9,0))=0),0,IF((CE91-((SUMIFS(условия!$200:$200,условия!$8:$8,"&lt;="&amp;CE$9,условия!$9:$9,"&gt;="&amp;CE$9)/DAY(EOMONTH(CE$9,0)))*2*CE91-CD161))&lt;0,CD161+CE91,IF((SUMIFS(условия!$200:$200,условия!$8:$8,"&lt;="&amp;CE$9,условия!$9:$9,"&gt;="&amp;CE$9)/DAY(EOMONTH(CE$9,0)))*2*CE91-CD161&lt;0,0,(SUMIFS(условия!$200:$200,условия!$8:$8,"&lt;="&amp;CE$9,условия!$9:$9,"&gt;="&amp;CE$9)/DAY(EOMONTH(CE$9,0)))*2*CE91-CD161))))</f>
        <v>11484.248505506854</v>
      </c>
      <c r="CF161" s="33">
        <f>IF(CF$9="",0,IF(OR(CF$9="",DAY(EOMONTH(CF$9,0))=0),0,IF((CF91-((SUMIFS(условия!$200:$200,условия!$8:$8,"&lt;="&amp;CF$9,условия!$9:$9,"&gt;="&amp;CF$9)/DAY(EOMONTH(CF$9,0)))*2*CF91-CE161))&lt;0,CE161+CF91,IF((SUMIFS(условия!$200:$200,условия!$8:$8,"&lt;="&amp;CF$9,условия!$9:$9,"&gt;="&amp;CF$9)/DAY(EOMONTH(CF$9,0)))*2*CF91-CE161&lt;0,0,(SUMIFS(условия!$200:$200,условия!$8:$8,"&lt;="&amp;CF$9,условия!$9:$9,"&gt;="&amp;CF$9)/DAY(EOMONTH(CF$9,0)))*2*CF91-CE161))))</f>
        <v>0</v>
      </c>
      <c r="CG161" s="33">
        <f>IF(CG$9="",0,IF(OR(CG$9="",DAY(EOMONTH(CG$9,0))=0),0,IF((CG91-((SUMIFS(условия!$200:$200,условия!$8:$8,"&lt;="&amp;CG$9,условия!$9:$9,"&gt;="&amp;CG$9)/DAY(EOMONTH(CG$9,0)))*2*CG91-CF161))&lt;0,CF161+CG91,IF((SUMIFS(условия!$200:$200,условия!$8:$8,"&lt;="&amp;CG$9,условия!$9:$9,"&gt;="&amp;CG$9)/DAY(EOMONTH(CG$9,0)))*2*CG91-CF161&lt;0,0,(SUMIFS(условия!$200:$200,условия!$8:$8,"&lt;="&amp;CG$9,условия!$9:$9,"&gt;="&amp;CG$9)/DAY(EOMONTH(CG$9,0)))*2*CG91-CF161))))</f>
        <v>1943.4619201536002</v>
      </c>
      <c r="CH161" s="33">
        <f>IF(CH$9="",0,IF(OR(CH$9="",DAY(EOMONTH(CH$9,0))=0),0,IF((CH91-((SUMIFS(условия!$200:$200,условия!$8:$8,"&lt;="&amp;CH$9,условия!$9:$9,"&gt;="&amp;CH$9)/DAY(EOMONTH(CH$9,0)))*2*CH91-CG161))&lt;0,CG161+CH91,IF((SUMIFS(условия!$200:$200,условия!$8:$8,"&lt;="&amp;CH$9,условия!$9:$9,"&gt;="&amp;CH$9)/DAY(EOMONTH(CH$9,0)))*2*CH91-CG161&lt;0,0,(SUMIFS(условия!$200:$200,условия!$8:$8,"&lt;="&amp;CH$9,условия!$9:$9,"&gt;="&amp;CH$9)/DAY(EOMONTH(CH$9,0)))*2*CH91-CG161))))</f>
        <v>3894.5873336832005</v>
      </c>
      <c r="CI161" s="33">
        <f>IF(CI$9="",0,IF(OR(CI$9="",DAY(EOMONTH(CI$9,0))=0),0,IF((CI91-((SUMIFS(условия!$200:$200,условия!$8:$8,"&lt;="&amp;CI$9,условия!$9:$9,"&gt;="&amp;CI$9)/DAY(EOMONTH(CI$9,0)))*2*CI91-CH161))&lt;0,CH161+CI91,IF((SUMIFS(условия!$200:$200,условия!$8:$8,"&lt;="&amp;CI$9,условия!$9:$9,"&gt;="&amp;CI$9)/DAY(EOMONTH(CI$9,0)))*2*CI91-CH161&lt;0,0,(SUMIFS(условия!$200:$200,условия!$8:$8,"&lt;="&amp;CI$9,условия!$9:$9,"&gt;="&amp;CI$9)/DAY(EOMONTH(CI$9,0)))*2*CI91-CH161))))</f>
        <v>6245.1340219699214</v>
      </c>
      <c r="CJ161" s="33">
        <f>IF(CJ$9="",0,IF(OR(CJ$9="",DAY(EOMONTH(CJ$9,0))=0),0,IF((CJ91-((SUMIFS(условия!$200:$200,условия!$8:$8,"&lt;="&amp;CJ$9,условия!$9:$9,"&gt;="&amp;CJ$9)/DAY(EOMONTH(CJ$9,0)))*2*CJ91-CI161))&lt;0,CI161+CJ91,IF((SUMIFS(условия!$200:$200,условия!$8:$8,"&lt;="&amp;CJ$9,условия!$9:$9,"&gt;="&amp;CJ$9)/DAY(EOMONTH(CJ$9,0)))*2*CJ91-CI161&lt;0,0,(SUMIFS(условия!$200:$200,условия!$8:$8,"&lt;="&amp;CJ$9,условия!$9:$9,"&gt;="&amp;CJ$9)/DAY(EOMONTH(CJ$9,0)))*2*CJ91-CI161))))</f>
        <v>9798.5426305536021</v>
      </c>
      <c r="CK161" s="33">
        <f>IF(CK$9="",0,IF(OR(CK$9="",DAY(EOMONTH(CK$9,0))=0),0,IF((CK91-((SUMIFS(условия!$200:$200,условия!$8:$8,"&lt;="&amp;CK$9,условия!$9:$9,"&gt;="&amp;CK$9)/DAY(EOMONTH(CK$9,0)))*2*CK91-CJ161))&lt;0,CJ161+CK91,IF((SUMIFS(условия!$200:$200,условия!$8:$8,"&lt;="&amp;CK$9,условия!$9:$9,"&gt;="&amp;CK$9)/DAY(EOMONTH(CK$9,0)))*2*CK91-CJ161&lt;0,0,(SUMIFS(условия!$200:$200,условия!$8:$8,"&lt;="&amp;CK$9,условия!$9:$9,"&gt;="&amp;CK$9)/DAY(EOMONTH(CK$9,0)))*2*CK91-CJ161))))</f>
        <v>14609.990311741441</v>
      </c>
      <c r="CL161" s="33">
        <f>IF(CL$9="",0,IF(OR(CL$9="",DAY(EOMONTH(CL$9,0))=0),0,IF((CL91-((SUMIFS(условия!$200:$200,условия!$8:$8,"&lt;="&amp;CL$9,условия!$9:$9,"&gt;="&amp;CL$9)/DAY(EOMONTH(CL$9,0)))*2*CL91-CK161))&lt;0,CK161+CL91,IF((SUMIFS(условия!$200:$200,условия!$8:$8,"&lt;="&amp;CL$9,условия!$9:$9,"&gt;="&amp;CL$9)/DAY(EOMONTH(CL$9,0)))*2*CL91-CK161&lt;0,0,(SUMIFS(условия!$200:$200,условия!$8:$8,"&lt;="&amp;CL$9,условия!$9:$9,"&gt;="&amp;CL$9)/DAY(EOMONTH(CL$9,0)))*2*CL91-CK161))))</f>
        <v>20716.261833738241</v>
      </c>
      <c r="CM161" s="33">
        <f>IF(CM$9="",0,IF(OR(CM$9="",DAY(EOMONTH(CM$9,0))=0),0,IF((CM91-((SUMIFS(условия!$200:$200,условия!$8:$8,"&lt;="&amp;CM$9,условия!$9:$9,"&gt;="&amp;CM$9)/DAY(EOMONTH(CM$9,0)))*2*CM91-CL161))&lt;0,CL161+CM91,IF((SUMIFS(условия!$200:$200,условия!$8:$8,"&lt;="&amp;CM$9,условия!$9:$9,"&gt;="&amp;CM$9)/DAY(EOMONTH(CM$9,0)))*2*CM91-CL161&lt;0,0,(SUMIFS(условия!$200:$200,условия!$8:$8,"&lt;="&amp;CM$9,условия!$9:$9,"&gt;="&amp;CM$9)/DAY(EOMONTH(CM$9,0)))*2*CM91-CL161))))</f>
        <v>108.66339188240454</v>
      </c>
      <c r="CN161" s="33">
        <f>IF(CN$9="",0,IF(OR(CN$9="",DAY(EOMONTH(CN$9,0))=0),0,IF((CN91-((SUMIFS(условия!$200:$200,условия!$8:$8,"&lt;="&amp;CN$9,условия!$9:$9,"&gt;="&amp;CN$9)/DAY(EOMONTH(CN$9,0)))*2*CN91-CM161))&lt;0,CM161+CN91,IF((SUMIFS(условия!$200:$200,условия!$8:$8,"&lt;="&amp;CN$9,условия!$9:$9,"&gt;="&amp;CN$9)/DAY(EOMONTH(CN$9,0)))*2*CN91-CM161&lt;0,0,(SUMIFS(условия!$200:$200,условия!$8:$8,"&lt;="&amp;CN$9,условия!$9:$9,"&gt;="&amp;CN$9)/DAY(EOMONTH(CN$9,0)))*2*CN91-CM161))))</f>
        <v>3197.3343208715887</v>
      </c>
      <c r="CO161" s="33">
        <f>IF(CO$9="",0,IF(OR(CO$9="",DAY(EOMONTH(CO$9,0))=0),0,IF((CO91-((SUMIFS(условия!$200:$200,условия!$8:$8,"&lt;="&amp;CO$9,условия!$9:$9,"&gt;="&amp;CO$9)/DAY(EOMONTH(CO$9,0)))*2*CO91-CN161))&lt;0,CN161+CO91,IF((SUMIFS(условия!$200:$200,условия!$8:$8,"&lt;="&amp;CO$9,условия!$9:$9,"&gt;="&amp;CO$9)/DAY(EOMONTH(CO$9,0)))*2*CO91-CN161&lt;0,0,(SUMIFS(условия!$200:$200,условия!$8:$8,"&lt;="&amp;CO$9,условия!$9:$9,"&gt;="&amp;CO$9)/DAY(EOMONTH(CO$9,0)))*2*CO91-CN161))))</f>
        <v>6813.3081401706604</v>
      </c>
      <c r="CP161" s="33">
        <f>IF(CP$9="",0,IF(OR(CP$9="",DAY(EOMONTH(CP$9,0))=0),0,IF((CP91-((SUMIFS(условия!$200:$200,условия!$8:$8,"&lt;="&amp;CP$9,условия!$9:$9,"&gt;="&amp;CP$9)/DAY(EOMONTH(CP$9,0)))*2*CP91-CO161))&lt;0,CO161+CP91,IF((SUMIFS(условия!$200:$200,условия!$8:$8,"&lt;="&amp;CP$9,условия!$9:$9,"&gt;="&amp;CP$9)/DAY(EOMONTH(CP$9,0)))*2*CP91-CO161&lt;0,0,(SUMIFS(условия!$200:$200,условия!$8:$8,"&lt;="&amp;CP$9,условия!$9:$9,"&gt;="&amp;CP$9)/DAY(EOMONTH(CP$9,0)))*2*CP91-CO161))))</f>
        <v>10974.476852843942</v>
      </c>
      <c r="CQ161" s="33">
        <f>IF(CQ$9="",0,IF(OR(CQ$9="",DAY(EOMONTH(CQ$9,0))=0),0,IF((CQ91-((SUMIFS(условия!$200:$200,условия!$8:$8,"&lt;="&amp;CQ$9,условия!$9:$9,"&gt;="&amp;CQ$9)/DAY(EOMONTH(CQ$9,0)))*2*CQ91-CP161))&lt;0,CP161+CQ91,IF((SUMIFS(условия!$200:$200,условия!$8:$8,"&lt;="&amp;CQ$9,условия!$9:$9,"&gt;="&amp;CQ$9)/DAY(EOMONTH(CQ$9,0)))*2*CQ91-CP161&lt;0,0,(SUMIFS(условия!$200:$200,условия!$8:$8,"&lt;="&amp;CQ$9,условия!$9:$9,"&gt;="&amp;CQ$9)/DAY(EOMONTH(CQ$9,0)))*2*CQ91-CP161))))</f>
        <v>15127.057404046347</v>
      </c>
      <c r="CR161" s="33">
        <f>IF(CR$9="",0,IF(OR(CR$9="",DAY(EOMONTH(CR$9,0))=0),0,IF((CR91-((SUMIFS(условия!$200:$200,условия!$8:$8,"&lt;="&amp;CR$9,условия!$9:$9,"&gt;="&amp;CR$9)/DAY(EOMONTH(CR$9,0)))*2*CR91-CQ161))&lt;0,CQ161+CR91,IF((SUMIFS(условия!$200:$200,условия!$8:$8,"&lt;="&amp;CR$9,условия!$9:$9,"&gt;="&amp;CR$9)/DAY(EOMONTH(CR$9,0)))*2*CR91-CQ161&lt;0,0,(SUMIFS(условия!$200:$200,условия!$8:$8,"&lt;="&amp;CR$9,условия!$9:$9,"&gt;="&amp;CR$9)/DAY(EOMONTH(CR$9,0)))*2*CR91-CQ161))))</f>
        <v>0</v>
      </c>
      <c r="CS161" s="33">
        <f>IF(CS$9="",0,IF(OR(CS$9="",DAY(EOMONTH(CS$9,0))=0),0,IF((CS91-((SUMIFS(условия!$200:$200,условия!$8:$8,"&lt;="&amp;CS$9,условия!$9:$9,"&gt;="&amp;CS$9)/DAY(EOMONTH(CS$9,0)))*2*CS91-CR161))&lt;0,CR161+CS91,IF((SUMIFS(условия!$200:$200,условия!$8:$8,"&lt;="&amp;CS$9,условия!$9:$9,"&gt;="&amp;CS$9)/DAY(EOMONTH(CS$9,0)))*2*CS91-CR161&lt;0,0,(SUMIFS(условия!$200:$200,условия!$8:$8,"&lt;="&amp;CS$9,условия!$9:$9,"&gt;="&amp;CS$9)/DAY(EOMONTH(CS$9,0)))*2*CS91-CR161))))</f>
        <v>2588.2060432757753</v>
      </c>
      <c r="CT161" s="33">
        <f>IF(CT$9="",0,IF(OR(CT$9="",DAY(EOMONTH(CT$9,0))=0),0,IF((CT91-((SUMIFS(условия!$200:$200,условия!$8:$8,"&lt;="&amp;CT$9,условия!$9:$9,"&gt;="&amp;CT$9)/DAY(EOMONTH(CT$9,0)))*2*CT91-CS161))&lt;0,CS161+CT91,IF((SUMIFS(условия!$200:$200,условия!$8:$8,"&lt;="&amp;CT$9,условия!$9:$9,"&gt;="&amp;CT$9)/DAY(EOMONTH(CT$9,0)))*2*CT91-CS161&lt;0,0,(SUMIFS(условия!$200:$200,условия!$8:$8,"&lt;="&amp;CT$9,условия!$9:$9,"&gt;="&amp;CT$9)/DAY(EOMONTH(CT$9,0)))*2*CT91-CS161))))</f>
        <v>5185.3580880837108</v>
      </c>
      <c r="CU161" s="33">
        <f>IF(CU$9="",0,IF(OR(CU$9="",DAY(EOMONTH(CU$9,0))=0),0,IF((CU91-((SUMIFS(условия!$200:$200,условия!$8:$8,"&lt;="&amp;CU$9,условия!$9:$9,"&gt;="&amp;CU$9)/DAY(EOMONTH(CU$9,0)))*2*CU91-CT161))&lt;0,CT161+CU91,IF((SUMIFS(условия!$200:$200,условия!$8:$8,"&lt;="&amp;CU$9,условия!$9:$9,"&gt;="&amp;CU$9)/DAY(EOMONTH(CU$9,0)))*2*CU91-CT161&lt;0,0,(SUMIFS(условия!$200:$200,условия!$8:$8,"&lt;="&amp;CU$9,условия!$9:$9,"&gt;="&amp;CU$9)/DAY(EOMONTH(CU$9,0)))*2*CU91-CT161))))</f>
        <v>8312.6757436918251</v>
      </c>
      <c r="CV161" s="33">
        <f>IF(CV$9="",0,IF(OR(CV$9="",DAY(EOMONTH(CV$9,0))=0),0,IF((CV91-((SUMIFS(условия!$200:$200,условия!$8:$8,"&lt;="&amp;CV$9,условия!$9:$9,"&gt;="&amp;CV$9)/DAY(EOMONTH(CV$9,0)))*2*CV91-CU161))&lt;0,CU161+CV91,IF((SUMIFS(условия!$200:$200,условия!$8:$8,"&lt;="&amp;CV$9,условия!$9:$9,"&gt;="&amp;CV$9)/DAY(EOMONTH(CV$9,0)))*2*CV91-CU161&lt;0,0,(SUMIFS(условия!$200:$200,условия!$8:$8,"&lt;="&amp;CV$9,условия!$9:$9,"&gt;="&amp;CV$9)/DAY(EOMONTH(CV$9,0)))*2*CV91-CU161))))</f>
        <v>13035.857832619771</v>
      </c>
      <c r="CW161" s="33">
        <f>IF(CW$9="",0,IF(OR(CW$9="",DAY(EOMONTH(CW$9,0))=0),0,IF((CW91-((SUMIFS(условия!$200:$200,условия!$8:$8,"&lt;="&amp;CW$9,условия!$9:$9,"&gt;="&amp;CW$9)/DAY(EOMONTH(CW$9,0)))*2*CW91-CV161))&lt;0,CV161+CW91,IF((SUMIFS(условия!$200:$200,условия!$8:$8,"&lt;="&amp;CW$9,условия!$9:$9,"&gt;="&amp;CW$9)/DAY(EOMONTH(CW$9,0)))*2*CW91-CV161&lt;0,0,(SUMIFS(условия!$200:$200,условия!$8:$8,"&lt;="&amp;CW$9,условия!$9:$9,"&gt;="&amp;CW$9)/DAY(EOMONTH(CW$9,0)))*2*CW91-CV161))))</f>
        <v>19419.315565899102</v>
      </c>
      <c r="CX161" s="33">
        <f>IF(CX$9="",0,IF(OR(CX$9="",DAY(EOMONTH(CX$9,0))=0),0,IF((CX91-((SUMIFS(условия!$200:$200,условия!$8:$8,"&lt;="&amp;CX$9,условия!$9:$9,"&gt;="&amp;CX$9)/DAY(EOMONTH(CX$9,0)))*2*CX91-CW161))&lt;0,CW161+CX91,IF((SUMIFS(условия!$200:$200,условия!$8:$8,"&lt;="&amp;CX$9,условия!$9:$9,"&gt;="&amp;CX$9)/DAY(EOMONTH(CX$9,0)))*2*CX91-CW161&lt;0,0,(SUMIFS(условия!$200:$200,условия!$8:$8,"&lt;="&amp;CX$9,условия!$9:$9,"&gt;="&amp;CX$9)/DAY(EOMONTH(CX$9,0)))*2*CX91-CW161))))</f>
        <v>27505.989750884186</v>
      </c>
      <c r="CY161" s="33">
        <f>IF(CY$9="",0,IF(OR(CY$9="",DAY(EOMONTH(CY$9,0))=0),0,IF((CY91-((SUMIFS(условия!$200:$200,условия!$8:$8,"&lt;="&amp;CY$9,условия!$9:$9,"&gt;="&amp;CY$9)/DAY(EOMONTH(CY$9,0)))*2*CY91-CX161))&lt;0,CX161+CY91,IF((SUMIFS(условия!$200:$200,условия!$8:$8,"&lt;="&amp;CY$9,условия!$9:$9,"&gt;="&amp;CY$9)/DAY(EOMONTH(CY$9,0)))*2*CY91-CX161&lt;0,0,(SUMIFS(условия!$200:$200,условия!$8:$8,"&lt;="&amp;CY$9,условия!$9:$9,"&gt;="&amp;CY$9)/DAY(EOMONTH(CY$9,0)))*2*CY91-CX161))))</f>
        <v>19.661414980273548</v>
      </c>
      <c r="CZ161" s="33">
        <f>IF(CZ$9="",0,IF(OR(CZ$9="",DAY(EOMONTH(CZ$9,0))=0),0,IF((CZ91-((SUMIFS(условия!$200:$200,условия!$8:$8,"&lt;="&amp;CZ$9,условия!$9:$9,"&gt;="&amp;CZ$9)/DAY(EOMONTH(CZ$9,0)))*2*CZ91-CY161))&lt;0,CY161+CZ91,IF((SUMIFS(условия!$200:$200,условия!$8:$8,"&lt;="&amp;CZ$9,условия!$9:$9,"&gt;="&amp;CZ$9)/DAY(EOMONTH(CZ$9,0)))*2*CZ91-CY161&lt;0,0,(SUMIFS(условия!$200:$200,условия!$8:$8,"&lt;="&amp;CZ$9,условия!$9:$9,"&gt;="&amp;CZ$9)/DAY(EOMONTH(CZ$9,0)))*2*CZ91-CY161))))</f>
        <v>3073.6559380305125</v>
      </c>
      <c r="DA161" s="33">
        <f>IF(DA$9="",0,IF(OR(DA$9="",DAY(EOMONTH(DA$9,0))=0),0,IF((DA91-((SUMIFS(условия!$200:$200,условия!$8:$8,"&lt;="&amp;DA$9,условия!$9:$9,"&gt;="&amp;DA$9)/DAY(EOMONTH(DA$9,0)))*2*DA91-CZ161))&lt;0,CZ161+DA91,IF((SUMIFS(условия!$200:$200,условия!$8:$8,"&lt;="&amp;DA$9,условия!$9:$9,"&gt;="&amp;DA$9)/DAY(EOMONTH(DA$9,0)))*2*DA91-CZ161&lt;0,0,(SUMIFS(условия!$200:$200,условия!$8:$8,"&lt;="&amp;DA$9,условия!$9:$9,"&gt;="&amp;DA$9)/DAY(EOMONTH(DA$9,0)))*2*DA91-CZ161))))</f>
        <v>6645.5127164404312</v>
      </c>
      <c r="DB161" s="33">
        <f>IF(DB$9="",0,IF(OR(DB$9="",DAY(EOMONTH(DB$9,0))=0),0,IF((DB91-((SUMIFS(условия!$200:$200,условия!$8:$8,"&lt;="&amp;DB$9,условия!$9:$9,"&gt;="&amp;DB$9)/DAY(EOMONTH(DB$9,0)))*2*DB91-DA161))&lt;0,DA161+DB91,IF((SUMIFS(условия!$200:$200,условия!$8:$8,"&lt;="&amp;DB$9,условия!$9:$9,"&gt;="&amp;DB$9)/DAY(EOMONTH(DB$9,0)))*2*DB91-DA161&lt;0,0,(SUMIFS(условия!$200:$200,условия!$8:$8,"&lt;="&amp;DB$9,условия!$9:$9,"&gt;="&amp;DB$9)/DAY(EOMONTH(DB$9,0)))*2*DB91-DA161))))</f>
        <v>10747.893419045229</v>
      </c>
      <c r="DC161" s="33">
        <f>IF(DC$9="",0,IF(OR(DC$9="",DAY(EOMONTH(DC$9,0))=0),0,IF((DC91-((SUMIFS(условия!$200:$200,условия!$8:$8,"&lt;="&amp;DC$9,условия!$9:$9,"&gt;="&amp;DC$9)/DAY(EOMONTH(DC$9,0)))*2*DC91-DB161))&lt;0,DB161+DC91,IF((SUMIFS(условия!$200:$200,условия!$8:$8,"&lt;="&amp;DC$9,условия!$9:$9,"&gt;="&amp;DC$9)/DAY(EOMONTH(DC$9,0)))*2*DC91-DB161&lt;0,0,(SUMIFS(условия!$200:$200,условия!$8:$8,"&lt;="&amp;DC$9,условия!$9:$9,"&gt;="&amp;DC$9)/DAY(EOMONTH(DC$9,0)))*2*DC91-DB161))))</f>
        <v>14844.19652060913</v>
      </c>
      <c r="DD161" s="33">
        <f>IF(DD$9="",0,IF(OR(DD$9="",DAY(EOMONTH(DD$9,0))=0),0,IF((DD91-((SUMIFS(условия!$200:$200,условия!$8:$8,"&lt;="&amp;DD$9,условия!$9:$9,"&gt;="&amp;DD$9)/DAY(EOMONTH(DD$9,0)))*2*DD91-DC161))&lt;0,DC161+DD91,IF((SUMIFS(условия!$200:$200,условия!$8:$8,"&lt;="&amp;DD$9,условия!$9:$9,"&gt;="&amp;DD$9)/DAY(EOMONTH(DD$9,0)))*2*DD91-DC161&lt;0,0,(SUMIFS(условия!$200:$200,условия!$8:$8,"&lt;="&amp;DD$9,условия!$9:$9,"&gt;="&amp;DD$9)/DAY(EOMONTH(DD$9,0)))*2*DD91-DC161))))</f>
        <v>0</v>
      </c>
      <c r="DE161" s="33">
        <f>IF(DE$9="",0,IF(OR(DE$9="",DAY(EOMONTH(DE$9,0))=0),0,IF((DE91-((SUMIFS(условия!$200:$200,условия!$8:$8,"&lt;="&amp;DE$9,условия!$9:$9,"&gt;="&amp;DE$9)/DAY(EOMONTH(DE$9,0)))*2*DE91-DD161))&lt;0,DD161+DE91,IF((SUMIFS(условия!$200:$200,условия!$8:$8,"&lt;="&amp;DE$9,условия!$9:$9,"&gt;="&amp;DE$9)/DAY(EOMONTH(DE$9,0)))*2*DE91-DD161&lt;0,0,(SUMIFS(условия!$200:$200,условия!$8:$8,"&lt;="&amp;DE$9,условия!$9:$9,"&gt;="&amp;DE$9)/DAY(EOMONTH(DE$9,0)))*2*DE91-DD161))))</f>
        <v>2555.1247709433592</v>
      </c>
      <c r="DF161" s="33">
        <f>IF(DF$9="",0,IF(OR(DF$9="",DAY(EOMONTH(DF$9,0))=0),0,IF((DF91-((SUMIFS(условия!$200:$200,условия!$8:$8,"&lt;="&amp;DF$9,условия!$9:$9,"&gt;="&amp;DF$9)/DAY(EOMONTH(DF$9,0)))*2*DF91-DE161))&lt;0,DE161+DF91,IF((SUMIFS(условия!$200:$200,условия!$8:$8,"&lt;="&amp;DF$9,условия!$9:$9,"&gt;="&amp;DF$9)/DAY(EOMONTH(DF$9,0)))*2*DF91-DE161&lt;0,0,(SUMIFS(условия!$200:$200,условия!$8:$8,"&lt;="&amp;DF$9,условия!$9:$9,"&gt;="&amp;DF$9)/DAY(EOMONTH(DF$9,0)))*2*DF91-DE161))))</f>
        <v>5116.5803763043186</v>
      </c>
      <c r="DG161" s="33">
        <f>IF(DG$9="",0,IF(OR(DG$9="",DAY(EOMONTH(DG$9,0))=0),0,IF((DG91-((SUMIFS(условия!$200:$200,условия!$8:$8,"&lt;="&amp;DG$9,условия!$9:$9,"&gt;="&amp;DG$9)/DAY(EOMONTH(DG$9,0)))*2*DG91-DF161))&lt;0,DF161+DG91,IF((SUMIFS(условия!$200:$200,условия!$8:$8,"&lt;="&amp;DG$9,условия!$9:$9,"&gt;="&amp;DG$9)/DAY(EOMONTH(DG$9,0)))*2*DG91-DF161&lt;0,0,(SUMIFS(условия!$200:$200,условия!$8:$8,"&lt;="&amp;DG$9,условия!$9:$9,"&gt;="&amp;DG$9)/DAY(EOMONTH(DG$9,0)))*2*DG91-DF161))))</f>
        <v>8197.9241040385896</v>
      </c>
      <c r="DH161" s="33">
        <f>IF(DH$9="",0,IF(OR(DH$9="",DAY(EOMONTH(DH$9,0))=0),0,IF((DH91-((SUMIFS(условия!$200:$200,условия!$8:$8,"&lt;="&amp;DH$9,условия!$9:$9,"&gt;="&amp;DH$9)/DAY(EOMONTH(DH$9,0)))*2*DH91-DG161))&lt;0,DG161+DH91,IF((SUMIFS(условия!$200:$200,условия!$8:$8,"&lt;="&amp;DH$9,условия!$9:$9,"&gt;="&amp;DH$9)/DAY(EOMONTH(DH$9,0)))*2*DH91-DG161&lt;0,0,(SUMIFS(условия!$200:$200,условия!$8:$8,"&lt;="&amp;DH$9,условия!$9:$9,"&gt;="&amp;DH$9)/DAY(EOMONTH(DH$9,0)))*2*DH91-DG161))))</f>
        <v>12842.730699543357</v>
      </c>
      <c r="DI161" s="33">
        <f>IF(DI$9="",0,IF(OR(DI$9="",DAY(EOMONTH(DI$9,0))=0),0,IF((DI91-((SUMIFS(условия!$200:$200,условия!$8:$8,"&lt;="&amp;DI$9,условия!$9:$9,"&gt;="&amp;DI$9)/DAY(EOMONTH(DI$9,0)))*2*DI91-DH161))&lt;0,DH161+DI91,IF((SUMIFS(условия!$200:$200,условия!$8:$8,"&lt;="&amp;DI$9,условия!$9:$9,"&gt;="&amp;DI$9)/DAY(EOMONTH(DI$9,0)))*2*DI91-DH161&lt;0,0,(SUMIFS(условия!$200:$200,условия!$8:$8,"&lt;="&amp;DI$9,условия!$9:$9,"&gt;="&amp;DI$9)/DAY(EOMONTH(DI$9,0)))*2*DI91-DH161))))</f>
        <v>19096.582170625337</v>
      </c>
      <c r="DJ161" s="33">
        <f>IF(DJ$9="",0,IF(OR(DJ$9="",DAY(EOMONTH(DJ$9,0))=0),0,IF((DJ91-((SUMIFS(условия!$200:$200,условия!$8:$8,"&lt;="&amp;DJ$9,условия!$9:$9,"&gt;="&amp;DJ$9)/DAY(EOMONTH(DJ$9,0)))*2*DJ91-DI161))&lt;0,DI161+DJ91,IF((SUMIFS(условия!$200:$200,условия!$8:$8,"&lt;="&amp;DJ$9,условия!$9:$9,"&gt;="&amp;DJ$9)/DAY(EOMONTH(DJ$9,0)))*2*DJ91-DI161&lt;0,0,(SUMIFS(условия!$200:$200,условия!$8:$8,"&lt;="&amp;DJ$9,условия!$9:$9,"&gt;="&amp;DJ$9)/DAY(EOMONTH(DJ$9,0)))*2*DJ91-DI161))))</f>
        <v>26989.866522489014</v>
      </c>
      <c r="DK161" s="33">
        <f>IF(DK$9="",0,IF(OR(DK$9="",DAY(EOMONTH(DK$9,0))=0),0,IF((DK91-((SUMIFS(условия!$200:$200,условия!$8:$8,"&lt;="&amp;DK$9,условия!$9:$9,"&gt;="&amp;DK$9)/DAY(EOMONTH(DK$9,0)))*2*DK91-DJ161))&lt;0,DJ161+DK91,IF((SUMIFS(условия!$200:$200,условия!$8:$8,"&lt;="&amp;DK$9,условия!$9:$9,"&gt;="&amp;DK$9)/DAY(EOMONTH(DK$9,0)))*2*DK91-DJ161&lt;0,0,(SUMIFS(условия!$200:$200,условия!$8:$8,"&lt;="&amp;DK$9,условия!$9:$9,"&gt;="&amp;DK$9)/DAY(EOMONTH(DK$9,0)))*2*DK91-DJ161))))</f>
        <v>0</v>
      </c>
      <c r="DL161" s="33">
        <f>IF(DL$9="",0,IF(OR(DL$9="",DAY(EOMONTH(DL$9,0))=0),0,IF((DL91-((SUMIFS(условия!$200:$200,условия!$8:$8,"&lt;="&amp;DL$9,условия!$9:$9,"&gt;="&amp;DL$9)/DAY(EOMONTH(DL$9,0)))*2*DL91-DK161))&lt;0,DK161+DL91,IF((SUMIFS(условия!$200:$200,условия!$8:$8,"&lt;="&amp;DL$9,условия!$9:$9,"&gt;="&amp;DL$9)/DAY(EOMONTH(DL$9,0)))*2*DL91-DK161&lt;0,0,(SUMIFS(условия!$200:$200,условия!$8:$8,"&lt;="&amp;DL$9,условия!$9:$9,"&gt;="&amp;DL$9)/DAY(EOMONTH(DL$9,0)))*2*DL91-DK161))))</f>
        <v>2745.860150276812</v>
      </c>
      <c r="DM161" s="33">
        <f>IF(DM$9="",0,IF(OR(DM$9="",DAY(EOMONTH(DM$9,0))=0),0,IF((DM91-((SUMIFS(условия!$200:$200,условия!$8:$8,"&lt;="&amp;DM$9,условия!$9:$9,"&gt;="&amp;DM$9)/DAY(EOMONTH(DM$9,0)))*2*DM91-DL161))&lt;0,DL161+DM91,IF((SUMIFS(условия!$200:$200,условия!$8:$8,"&lt;="&amp;DM$9,условия!$9:$9,"&gt;="&amp;DM$9)/DAY(EOMONTH(DM$9,0)))*2*DM91-DL161&lt;0,0,(SUMIFS(условия!$200:$200,условия!$8:$8,"&lt;="&amp;DM$9,условия!$9:$9,"&gt;="&amp;DM$9)/DAY(EOMONTH(DM$9,0)))*2*DM91-DL161))))</f>
        <v>5955.7451400260343</v>
      </c>
      <c r="DN161" s="33">
        <f>IF(DN$9="",0,IF(OR(DN$9="",DAY(EOMONTH(DN$9,0))=0),0,IF((DN91-((SUMIFS(условия!$200:$200,условия!$8:$8,"&lt;="&amp;DN$9,условия!$9:$9,"&gt;="&amp;DN$9)/DAY(EOMONTH(DN$9,0)))*2*DN91-DM161))&lt;0,DM161+DN91,IF((SUMIFS(условия!$200:$200,условия!$8:$8,"&lt;="&amp;DN$9,условия!$9:$9,"&gt;="&amp;DN$9)/DAY(EOMONTH(DN$9,0)))*2*DN91-DM161&lt;0,0,(SUMIFS(условия!$200:$200,условия!$8:$8,"&lt;="&amp;DN$9,условия!$9:$9,"&gt;="&amp;DN$9)/DAY(EOMONTH(DN$9,0)))*2*DN91-DM161))))</f>
        <v>9638.7713708090087</v>
      </c>
      <c r="DO161" s="33">
        <f>IF(DO$9="",0,IF(OR(DO$9="",DAY(EOMONTH(DO$9,0))=0),0,IF((DO91-((SUMIFS(условия!$200:$200,условия!$8:$8,"&lt;="&amp;DO$9,условия!$9:$9,"&gt;="&amp;DO$9)/DAY(EOMONTH(DO$9,0)))*2*DO91-DN161))&lt;0,DN161+DO91,IF((SUMIFS(условия!$200:$200,условия!$8:$8,"&lt;="&amp;DO$9,условия!$9:$9,"&gt;="&amp;DO$9)/DAY(EOMONTH(DO$9,0)))*2*DO91-DN161&lt;0,0,(SUMIFS(условия!$200:$200,условия!$8:$8,"&lt;="&amp;DO$9,условия!$9:$9,"&gt;="&amp;DO$9)/DAY(EOMONTH(DO$9,0)))*2*DO91-DN161))))</f>
        <v>13317.421728842539</v>
      </c>
      <c r="DP161" s="33">
        <f>IF(DP$9="",0,IF(OR(DP$9="",DAY(EOMONTH(DP$9,0))=0),0,IF((DP91-((SUMIFS(условия!$200:$200,условия!$8:$8,"&lt;="&amp;DP$9,условия!$9:$9,"&gt;="&amp;DP$9)/DAY(EOMONTH(DP$9,0)))*2*DP91-DO161))&lt;0,DO161+DP91,IF((SUMIFS(условия!$200:$200,условия!$8:$8,"&lt;="&amp;DP$9,условия!$9:$9,"&gt;="&amp;DP$9)/DAY(EOMONTH(DP$9,0)))*2*DP91-DO161&lt;0,0,(SUMIFS(условия!$200:$200,условия!$8:$8,"&lt;="&amp;DP$9,условия!$9:$9,"&gt;="&amp;DP$9)/DAY(EOMONTH(DP$9,0)))*2*DP91-DO161))))</f>
        <v>0</v>
      </c>
      <c r="DQ161" s="33">
        <f>IF(DQ$9="",0,IF(OR(DQ$9="",DAY(EOMONTH(DQ$9,0))=0),0,IF((DQ91-((SUMIFS(условия!$200:$200,условия!$8:$8,"&lt;="&amp;DQ$9,условия!$9:$9,"&gt;="&amp;DQ$9)/DAY(EOMONTH(DQ$9,0)))*2*DQ91-DP161))&lt;0,DP161+DQ91,IF((SUMIFS(условия!$200:$200,условия!$8:$8,"&lt;="&amp;DQ$9,условия!$9:$9,"&gt;="&amp;DQ$9)/DAY(EOMONTH(DQ$9,0)))*2*DQ91-DP161&lt;0,0,(SUMIFS(условия!$200:$200,условия!$8:$8,"&lt;="&amp;DQ$9,условия!$9:$9,"&gt;="&amp;DQ$9)/DAY(EOMONTH(DQ$9,0)))*2*DQ91-DP161))))</f>
        <v>2295.5099131464185</v>
      </c>
      <c r="DR161" s="33">
        <f>IF(DR$9="",0,IF(OR(DR$9="",DAY(EOMONTH(DR$9,0))=0),0,IF((DR91-((SUMIFS(условия!$200:$200,условия!$8:$8,"&lt;="&amp;DR$9,условия!$9:$9,"&gt;="&amp;DR$9)/DAY(EOMONTH(DR$9,0)))*2*DR91-DQ161))&lt;0,DQ161+DR91,IF((SUMIFS(условия!$200:$200,условия!$8:$8,"&lt;="&amp;DR$9,условия!$9:$9,"&gt;="&amp;DR$9)/DAY(EOMONTH(DR$9,0)))*2*DR91-DQ161&lt;0,0,(SUMIFS(условия!$200:$200,условия!$8:$8,"&lt;="&amp;DR$9,условия!$9:$9,"&gt;="&amp;DR$9)/DAY(EOMONTH(DR$9,0)))*2*DR91-DQ161))))</f>
        <v>4595.5780270735086</v>
      </c>
      <c r="DS161" s="33">
        <f>IF(DS$9="",0,IF(OR(DS$9="",DAY(EOMONTH(DS$9,0))=0),0,IF((DS91-((SUMIFS(условия!$200:$200,условия!$8:$8,"&lt;="&amp;DS$9,условия!$9:$9,"&gt;="&amp;DS$9)/DAY(EOMONTH(DS$9,0)))*2*DS91-DR161))&lt;0,DR161+DS91,IF((SUMIFS(условия!$200:$200,условия!$8:$8,"&lt;="&amp;DS$9,условия!$9:$9,"&gt;="&amp;DS$9)/DAY(EOMONTH(DS$9,0)))*2*DS91-DR161&lt;0,0,(SUMIFS(условия!$200:$200,условия!$8:$8,"&lt;="&amp;DS$9,условия!$9:$9,"&gt;="&amp;DS$9)/DAY(EOMONTH(DS$9,0)))*2*DS91-DR161))))</f>
        <v>7361.1296047228243</v>
      </c>
      <c r="DT161" s="33">
        <f>IF(DT$9="",0,IF(OR(DT$9="",DAY(EOMONTH(DT$9,0))=0),0,IF((DT91-((SUMIFS(условия!$200:$200,условия!$8:$8,"&lt;="&amp;DT$9,условия!$9:$9,"&gt;="&amp;DT$9)/DAY(EOMONTH(DT$9,0)))*2*DT91-DS161))&lt;0,DS161+DT91,IF((SUMIFS(условия!$200:$200,условия!$8:$8,"&lt;="&amp;DT$9,условия!$9:$9,"&gt;="&amp;DT$9)/DAY(EOMONTH(DT$9,0)))*2*DT91-DS161&lt;0,0,(SUMIFS(условия!$200:$200,условия!$8:$8,"&lt;="&amp;DT$9,условия!$9:$9,"&gt;="&amp;DT$9)/DAY(EOMONTH(DT$9,0)))*2*DT91-DS161))))</f>
        <v>11525.866494007216</v>
      </c>
      <c r="DU161" s="33">
        <f>IF(DU$9="",0,IF(OR(DU$9="",DAY(EOMONTH(DU$9,0))=0),0,IF((DU91-((SUMIFS(условия!$200:$200,условия!$8:$8,"&lt;="&amp;DU$9,условия!$9:$9,"&gt;="&amp;DU$9)/DAY(EOMONTH(DU$9,0)))*2*DU91-DT161))&lt;0,DT161+DU91,IF((SUMIFS(условия!$200:$200,условия!$8:$8,"&lt;="&amp;DU$9,условия!$9:$9,"&gt;="&amp;DU$9)/DAY(EOMONTH(DU$9,0)))*2*DU91-DT161&lt;0,0,(SUMIFS(условия!$200:$200,условия!$8:$8,"&lt;="&amp;DU$9,условия!$9:$9,"&gt;="&amp;DU$9)/DAY(EOMONTH(DU$9,0)))*2*DU91-DT161))))</f>
        <v>17122.607740547523</v>
      </c>
      <c r="DV161" s="33">
        <f>IF(DV$9="",0,IF(OR(DV$9="",DAY(EOMONTH(DV$9,0))=0),0,IF((DV91-((SUMIFS(условия!$200:$200,условия!$8:$8,"&lt;="&amp;DV$9,условия!$9:$9,"&gt;="&amp;DV$9)/DAY(EOMONTH(DV$9,0)))*2*DV91-DU161))&lt;0,DU161+DV91,IF((SUMIFS(условия!$200:$200,условия!$8:$8,"&lt;="&amp;DV$9,условия!$9:$9,"&gt;="&amp;DV$9)/DAY(EOMONTH(DV$9,0)))*2*DV91-DU161&lt;0,0,(SUMIFS(условия!$200:$200,условия!$8:$8,"&lt;="&amp;DV$9,условия!$9:$9,"&gt;="&amp;DV$9)/DAY(EOMONTH(DV$9,0)))*2*DV91-DU161))))</f>
        <v>24173.232708090967</v>
      </c>
      <c r="DW161" s="33">
        <f>IF(DW$9="",0,IF(OR(DW$9="",DAY(EOMONTH(DW$9,0))=0),0,IF((DW91-((SUMIFS(условия!$200:$200,условия!$8:$8,"&lt;="&amp;DW$9,условия!$9:$9,"&gt;="&amp;DW$9)/DAY(EOMONTH(DW$9,0)))*2*DW91-DV161))&lt;0,DV161+DW91,IF((SUMIFS(условия!$200:$200,условия!$8:$8,"&lt;="&amp;DW$9,условия!$9:$9,"&gt;="&amp;DW$9)/DAY(EOMONTH(DW$9,0)))*2*DW91-DV161&lt;0,0,(SUMIFS(условия!$200:$200,условия!$8:$8,"&lt;="&amp;DW$9,условия!$9:$9,"&gt;="&amp;DW$9)/DAY(EOMONTH(DW$9,0)))*2*DW91-DV161))))</f>
        <v>0</v>
      </c>
      <c r="DX161" s="33">
        <f>IF(DX$9="",0,IF(OR(DX$9="",DAY(EOMONTH(DX$9,0))=0),0,IF((DX91-((SUMIFS(условия!$200:$200,условия!$8:$8,"&lt;="&amp;DX$9,условия!$9:$9,"&gt;="&amp;DX$9)/DAY(EOMONTH(DX$9,0)))*2*DX91-DW161))&lt;0,DW161+DX91,IF((SUMIFS(условия!$200:$200,условия!$8:$8,"&lt;="&amp;DX$9,условия!$9:$9,"&gt;="&amp;DX$9)/DAY(EOMONTH(DX$9,0)))*2*DX91-DW161&lt;0,0,(SUMIFS(условия!$200:$200,условия!$8:$8,"&lt;="&amp;DX$9,условия!$9:$9,"&gt;="&amp;DX$9)/DAY(EOMONTH(DX$9,0)))*2*DX91-DW161))))</f>
        <v>2852.8502390007448</v>
      </c>
      <c r="DY161" s="33">
        <f>IF(DY$9="",0,IF(OR(DY$9="",DAY(EOMONTH(DY$9,0))=0),0,IF((DY91-((SUMIFS(условия!$200:$200,условия!$8:$8,"&lt;="&amp;DY$9,условия!$9:$9,"&gt;="&amp;DY$9)/DAY(EOMONTH(DY$9,0)))*2*DY91-DX161))&lt;0,DX161+DY91,IF((SUMIFS(условия!$200:$200,условия!$8:$8,"&lt;="&amp;DY$9,условия!$9:$9,"&gt;="&amp;DY$9)/DAY(EOMONTH(DY$9,0)))*2*DY91-DX161&lt;0,0,(SUMIFS(условия!$200:$200,условия!$8:$8,"&lt;="&amp;DY$9,условия!$9:$9,"&gt;="&amp;DY$9)/DAY(EOMONTH(DY$9,0)))*2*DY91-DX161))))</f>
        <v>6186.153073087442</v>
      </c>
      <c r="DZ161" s="33">
        <f>IF(DZ$9="",0,IF(OR(DZ$9="",DAY(EOMONTH(DZ$9,0))=0),0,IF((DZ91-((SUMIFS(условия!$200:$200,условия!$8:$8,"&lt;="&amp;DZ$9,условия!$9:$9,"&gt;="&amp;DZ$9)/DAY(EOMONTH(DZ$9,0)))*2*DZ91-DY161))&lt;0,DY161+DZ91,IF((SUMIFS(условия!$200:$200,условия!$8:$8,"&lt;="&amp;DZ$9,условия!$9:$9,"&gt;="&amp;DZ$9)/DAY(EOMONTH(DZ$9,0)))*2*DZ91-DY161&lt;0,0,(SUMIFS(условия!$200:$200,условия!$8:$8,"&lt;="&amp;DZ$9,условия!$9:$9,"&gt;="&amp;DZ$9)/DAY(EOMONTH(DZ$9,0)))*2*DZ91-DY161))))</f>
        <v>10007.019295477938</v>
      </c>
      <c r="EA161" s="33">
        <f>IF(EA$9="",0,IF(OR(EA$9="",DAY(EOMONTH(EA$9,0))=0),0,IF((EA91-((SUMIFS(условия!$200:$200,условия!$8:$8,"&lt;="&amp;EA$9,условия!$9:$9,"&gt;="&amp;EA$9)/DAY(EOMONTH(EA$9,0)))*2*EA91-DZ161))&lt;0,DZ161+EA91,IF((SUMIFS(условия!$200:$200,условия!$8:$8,"&lt;="&amp;EA$9,условия!$9:$9,"&gt;="&amp;EA$9)/DAY(EOMONTH(EA$9,0)))*2*EA91-DZ161&lt;0,0,(SUMIFS(условия!$200:$200,условия!$8:$8,"&lt;="&amp;EA$9,условия!$9:$9,"&gt;="&amp;EA$9)/DAY(EOMONTH(EA$9,0)))*2*EA91-DZ161))))</f>
        <v>13824.472337123867</v>
      </c>
      <c r="EB161" s="33">
        <f>IF(EB$9="",0,IF(OR(EB$9="",DAY(EOMONTH(EB$9,0))=0),0,IF((EB91-((SUMIFS(условия!$200:$200,условия!$8:$8,"&lt;="&amp;EB$9,условия!$9:$9,"&gt;="&amp;EB$9)/DAY(EOMONTH(EB$9,0)))*2*EB91-EA161))&lt;0,EA161+EB91,IF((SUMIFS(условия!$200:$200,условия!$8:$8,"&lt;="&amp;EB$9,условия!$9:$9,"&gt;="&amp;EB$9)/DAY(EOMONTH(EB$9,0)))*2*EB91-EA161&lt;0,0,(SUMIFS(условия!$200:$200,условия!$8:$8,"&lt;="&amp;EB$9,условия!$9:$9,"&gt;="&amp;EB$9)/DAY(EOMONTH(EB$9,0)))*2*EB91-EA161))))</f>
        <v>0</v>
      </c>
      <c r="EC161" s="33">
        <f>IF(EC$9="",0,IF(OR(EC$9="",DAY(EOMONTH(EC$9,0))=0),0,IF((EC91-((SUMIFS(условия!$200:$200,условия!$8:$8,"&lt;="&amp;EC$9,условия!$9:$9,"&gt;="&amp;EC$9)/DAY(EOMONTH(EC$9,0)))*2*EC91-EB161))&lt;0,EB161+EC91,IF((SUMIFS(условия!$200:$200,условия!$8:$8,"&lt;="&amp;EC$9,условия!$9:$9,"&gt;="&amp;EC$9)/DAY(EOMONTH(EC$9,0)))*2*EC91-EB161&lt;0,0,(SUMIFS(условия!$200:$200,условия!$8:$8,"&lt;="&amp;EC$9,условия!$9:$9,"&gt;="&amp;EC$9)/DAY(EOMONTH(EC$9,0)))*2*EC91-EB161))))</f>
        <v>2383.0638337415671</v>
      </c>
      <c r="ED161" s="33">
        <f>IF(ED$9="",0,IF(OR(ED$9="",DAY(EOMONTH(ED$9,0))=0),0,IF((ED91-((SUMIFS(условия!$200:$200,условия!$8:$8,"&lt;="&amp;ED$9,условия!$9:$9,"&gt;="&amp;ED$9)/DAY(EOMONTH(ED$9,0)))*2*ED91-EC161))&lt;0,EC161+ED91,IF((SUMIFS(условия!$200:$200,условия!$8:$8,"&lt;="&amp;ED$9,условия!$9:$9,"&gt;="&amp;ED$9)/DAY(EOMONTH(ED$9,0)))*2*ED91-EC161&lt;0,0,(SUMIFS(условия!$200:$200,условия!$8:$8,"&lt;="&amp;ED$9,условия!$9:$9,"&gt;="&amp;ED$9)/DAY(EOMONTH(ED$9,0)))*2*ED91-EC161))))</f>
        <v>4769.683064092058</v>
      </c>
      <c r="EE161" s="33">
        <f>IF(EE$9="",0,IF(OR(EE$9="",DAY(EOMONTH(EE$9,0))=0),0,IF((EE91-((SUMIFS(условия!$200:$200,условия!$8:$8,"&lt;="&amp;EE$9,условия!$9:$9,"&gt;="&amp;EE$9)/DAY(EOMONTH(EE$9,0)))*2*EE91-ED161))&lt;0,ED161+EE91,IF((SUMIFS(условия!$200:$200,условия!$8:$8,"&lt;="&amp;EE$9,условия!$9:$9,"&gt;="&amp;EE$9)/DAY(EOMONTH(EE$9,0)))*2*EE91-ED161&lt;0,0,(SUMIFS(условия!$200:$200,условия!$8:$8,"&lt;="&amp;EE$9,условия!$9:$9,"&gt;="&amp;EE$9)/DAY(EOMONTH(EE$9,0)))*2*EE91-ED161))))</f>
        <v>7637.892616443356</v>
      </c>
      <c r="EF161" s="33">
        <f>IF(EF$9="",0,IF(OR(EF$9="",DAY(EOMONTH(EF$9,0))=0),0,IF((EF91-((SUMIFS(условия!$200:$200,условия!$8:$8,"&lt;="&amp;EF$9,условия!$9:$9,"&gt;="&amp;EF$9)/DAY(EOMONTH(EF$9,0)))*2*EF91-EE161))&lt;0,EE161+EF91,IF((SUMIFS(условия!$200:$200,условия!$8:$8,"&lt;="&amp;EF$9,условия!$9:$9,"&gt;="&amp;EF$9)/DAY(EOMONTH(EF$9,0)))*2*EF91-EE161&lt;0,0,(SUMIFS(условия!$200:$200,условия!$8:$8,"&lt;="&amp;EF$9,условия!$9:$9,"&gt;="&amp;EF$9)/DAY(EOMONTH(EF$9,0)))*2*EF91-EE161))))</f>
        <v>11953.006372762429</v>
      </c>
      <c r="EG161" s="33">
        <f>IF(EG$9="",0,IF(OR(EG$9="",DAY(EOMONTH(EG$9,0))=0),0,IF((EG91-((SUMIFS(условия!$200:$200,условия!$8:$8,"&lt;="&amp;EG$9,условия!$9:$9,"&gt;="&amp;EG$9)/DAY(EOMONTH(EG$9,0)))*2*EG91-EF161))&lt;0,EF161+EG91,IF((SUMIFS(условия!$200:$200,условия!$8:$8,"&lt;="&amp;EG$9,условия!$9:$9,"&gt;="&amp;EG$9)/DAY(EOMONTH(EG$9,0)))*2*EG91-EF161&lt;0,0,(SUMIFS(условия!$200:$200,условия!$8:$8,"&lt;="&amp;EG$9,условия!$9:$9,"&gt;="&amp;EG$9)/DAY(EOMONTH(EG$9,0)))*2*EG91-EF161))))</f>
        <v>17740.623188633534</v>
      </c>
      <c r="EH161" s="33">
        <f>IF(EH$9="",0,IF(OR(EH$9="",DAY(EOMONTH(EH$9,0))=0),0,IF((EH91-((SUMIFS(условия!$200:$200,условия!$8:$8,"&lt;="&amp;EH$9,условия!$9:$9,"&gt;="&amp;EH$9)/DAY(EOMONTH(EH$9,0)))*2*EH91-EG161))&lt;0,EG161+EH91,IF((SUMIFS(условия!$200:$200,условия!$8:$8,"&lt;="&amp;EH$9,условия!$9:$9,"&gt;="&amp;EH$9)/DAY(EOMONTH(EH$9,0)))*2*EH91-EG161&lt;0,0,(SUMIFS(условия!$200:$200,условия!$8:$8,"&lt;="&amp;EH$9,условия!$9:$9,"&gt;="&amp;EH$9)/DAY(EOMONTH(EH$9,0)))*2*EH91-EG161))))</f>
        <v>25017.808967779503</v>
      </c>
      <c r="EI161" s="33">
        <f>IF(EI$9="",0,IF(OR(EI$9="",DAY(EOMONTH(EI$9,0))=0),0,IF((EI91-((SUMIFS(условия!$200:$200,условия!$8:$8,"&lt;="&amp;EI$9,условия!$9:$9,"&gt;="&amp;EI$9)/DAY(EOMONTH(EI$9,0)))*2*EI91-EH161))&lt;0,EH161+EI91,IF((SUMIFS(условия!$200:$200,условия!$8:$8,"&lt;="&amp;EI$9,условия!$9:$9,"&gt;="&amp;EI$9)/DAY(EOMONTH(EI$9,0)))*2*EI91-EH161&lt;0,0,(SUMIFS(условия!$200:$200,условия!$8:$8,"&lt;="&amp;EI$9,условия!$9:$9,"&gt;="&amp;EI$9)/DAY(EOMONTH(EI$9,0)))*2*EI91-EH161))))</f>
        <v>0</v>
      </c>
      <c r="EJ161" s="3"/>
      <c r="EK161" s="3"/>
    </row>
    <row r="162" spans="1:14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2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</row>
    <row r="163" spans="1:141" x14ac:dyDescent="0.25">
      <c r="A163" s="3"/>
      <c r="B163" s="3"/>
      <c r="C163" s="3"/>
      <c r="D163" s="3"/>
      <c r="E163" s="3"/>
      <c r="F163" s="10" t="str">
        <f>KPI!$F$168</f>
        <v>Оплата маркетинговых расходов</v>
      </c>
      <c r="G163" s="3"/>
      <c r="H163" s="3"/>
      <c r="I163" s="3"/>
      <c r="J163" s="5" t="str">
        <f>IF($F163="","",INDEX(KPI!$I$11:$I$275,SUMIFS(KPI!$E$11:$E$275,KPI!$F$11:$F$275,$F163)))</f>
        <v>тыс.руб.</v>
      </c>
      <c r="K163" s="3"/>
      <c r="L163" s="3"/>
      <c r="M163" s="3"/>
      <c r="N163" s="3"/>
      <c r="O163" s="3"/>
      <c r="P163" s="3"/>
      <c r="Q163" s="12">
        <f>SUM(S163:EJ163)</f>
        <v>298297.20166125608</v>
      </c>
      <c r="R163" s="3"/>
      <c r="S163" s="55"/>
      <c r="T163" s="33">
        <f>S161+T91-T161</f>
        <v>0</v>
      </c>
      <c r="U163" s="33">
        <f t="shared" ref="U163:CF163" si="67">T161+U91-U161</f>
        <v>0</v>
      </c>
      <c r="V163" s="33">
        <f t="shared" si="67"/>
        <v>0</v>
      </c>
      <c r="W163" s="33">
        <f t="shared" si="67"/>
        <v>0</v>
      </c>
      <c r="X163" s="33">
        <f t="shared" si="67"/>
        <v>0</v>
      </c>
      <c r="Y163" s="33">
        <f t="shared" si="67"/>
        <v>0</v>
      </c>
      <c r="Z163" s="33">
        <f t="shared" si="67"/>
        <v>0</v>
      </c>
      <c r="AA163" s="33">
        <f t="shared" si="67"/>
        <v>0</v>
      </c>
      <c r="AB163" s="33">
        <f t="shared" si="67"/>
        <v>0</v>
      </c>
      <c r="AC163" s="33">
        <f t="shared" si="67"/>
        <v>0</v>
      </c>
      <c r="AD163" s="33">
        <f t="shared" si="67"/>
        <v>0</v>
      </c>
      <c r="AE163" s="33">
        <f t="shared" si="67"/>
        <v>653.78534999999999</v>
      </c>
      <c r="AF163" s="33">
        <f t="shared" si="67"/>
        <v>0</v>
      </c>
      <c r="AG163" s="33">
        <f t="shared" si="67"/>
        <v>0</v>
      </c>
      <c r="AH163" s="33">
        <f t="shared" si="67"/>
        <v>0</v>
      </c>
      <c r="AI163" s="33">
        <f t="shared" si="67"/>
        <v>0</v>
      </c>
      <c r="AJ163" s="33">
        <f t="shared" si="67"/>
        <v>1277.2159142400001</v>
      </c>
      <c r="AK163" s="33">
        <f t="shared" si="67"/>
        <v>0</v>
      </c>
      <c r="AL163" s="33">
        <f t="shared" si="67"/>
        <v>0</v>
      </c>
      <c r="AM163" s="33">
        <f t="shared" si="67"/>
        <v>0</v>
      </c>
      <c r="AN163" s="33">
        <f t="shared" si="67"/>
        <v>0</v>
      </c>
      <c r="AO163" s="33">
        <f t="shared" si="67"/>
        <v>0</v>
      </c>
      <c r="AP163" s="33">
        <f t="shared" si="67"/>
        <v>0</v>
      </c>
      <c r="AQ163" s="33">
        <f t="shared" si="67"/>
        <v>2440.4850112412905</v>
      </c>
      <c r="AR163" s="33">
        <f t="shared" si="67"/>
        <v>0</v>
      </c>
      <c r="AS163" s="33">
        <f t="shared" si="67"/>
        <v>0</v>
      </c>
      <c r="AT163" s="33">
        <f t="shared" si="67"/>
        <v>0</v>
      </c>
      <c r="AU163" s="33">
        <f t="shared" si="67"/>
        <v>0</v>
      </c>
      <c r="AV163" s="33">
        <f t="shared" si="67"/>
        <v>3051.1750322787093</v>
      </c>
      <c r="AW163" s="33">
        <f t="shared" si="67"/>
        <v>0</v>
      </c>
      <c r="AX163" s="33">
        <f t="shared" si="67"/>
        <v>0</v>
      </c>
      <c r="AY163" s="33">
        <f t="shared" si="67"/>
        <v>0</v>
      </c>
      <c r="AZ163" s="33">
        <f t="shared" si="67"/>
        <v>0</v>
      </c>
      <c r="BA163" s="33">
        <f t="shared" si="67"/>
        <v>0</v>
      </c>
      <c r="BB163" s="33">
        <f t="shared" si="67"/>
        <v>0</v>
      </c>
      <c r="BC163" s="33">
        <f t="shared" si="67"/>
        <v>5741.1394738374192</v>
      </c>
      <c r="BD163" s="33">
        <f t="shared" si="67"/>
        <v>0</v>
      </c>
      <c r="BE163" s="33">
        <f t="shared" si="67"/>
        <v>0</v>
      </c>
      <c r="BF163" s="33">
        <f t="shared" si="67"/>
        <v>0</v>
      </c>
      <c r="BG163" s="33">
        <f t="shared" si="67"/>
        <v>0</v>
      </c>
      <c r="BH163" s="33">
        <f t="shared" si="67"/>
        <v>6368.5806103865825</v>
      </c>
      <c r="BI163" s="33">
        <f t="shared" si="67"/>
        <v>0</v>
      </c>
      <c r="BJ163" s="33">
        <f t="shared" si="67"/>
        <v>0</v>
      </c>
      <c r="BK163" s="33">
        <f t="shared" si="67"/>
        <v>0</v>
      </c>
      <c r="BL163" s="33">
        <f t="shared" si="67"/>
        <v>0</v>
      </c>
      <c r="BM163" s="33">
        <f t="shared" si="67"/>
        <v>0</v>
      </c>
      <c r="BN163" s="33">
        <f t="shared" si="67"/>
        <v>0</v>
      </c>
      <c r="BO163" s="33">
        <f t="shared" si="67"/>
        <v>12038.45183420284</v>
      </c>
      <c r="BP163" s="33">
        <f t="shared" si="67"/>
        <v>0</v>
      </c>
      <c r="BQ163" s="33">
        <f t="shared" si="67"/>
        <v>0</v>
      </c>
      <c r="BR163" s="33">
        <f t="shared" si="67"/>
        <v>0</v>
      </c>
      <c r="BS163" s="33">
        <f t="shared" si="67"/>
        <v>0</v>
      </c>
      <c r="BT163" s="33">
        <f t="shared" si="67"/>
        <v>9645.834532752684</v>
      </c>
      <c r="BU163" s="33">
        <f t="shared" si="67"/>
        <v>0</v>
      </c>
      <c r="BV163" s="33">
        <f t="shared" si="67"/>
        <v>0</v>
      </c>
      <c r="BW163" s="33">
        <f t="shared" si="67"/>
        <v>0</v>
      </c>
      <c r="BX163" s="33">
        <f t="shared" si="67"/>
        <v>0</v>
      </c>
      <c r="BY163" s="33">
        <f t="shared" si="67"/>
        <v>0</v>
      </c>
      <c r="BZ163" s="33">
        <f t="shared" si="67"/>
        <v>0</v>
      </c>
      <c r="CA163" s="33">
        <f t="shared" si="67"/>
        <v>18160.86448131171</v>
      </c>
      <c r="CB163" s="33">
        <f t="shared" si="67"/>
        <v>0</v>
      </c>
      <c r="CC163" s="33">
        <f t="shared" si="67"/>
        <v>0</v>
      </c>
      <c r="CD163" s="33">
        <f t="shared" si="67"/>
        <v>0</v>
      </c>
      <c r="CE163" s="33">
        <f t="shared" si="67"/>
        <v>0</v>
      </c>
      <c r="CF163" s="33">
        <f t="shared" si="67"/>
        <v>13820.081286511653</v>
      </c>
      <c r="CG163" s="33">
        <f t="shared" ref="CG163:EI163" si="68">CF161+CG91-CG161</f>
        <v>0</v>
      </c>
      <c r="CH163" s="33">
        <f t="shared" si="68"/>
        <v>0</v>
      </c>
      <c r="CI163" s="33">
        <f t="shared" si="68"/>
        <v>0</v>
      </c>
      <c r="CJ163" s="33">
        <f t="shared" si="68"/>
        <v>0</v>
      </c>
      <c r="CK163" s="33">
        <f t="shared" si="68"/>
        <v>0</v>
      </c>
      <c r="CL163" s="33">
        <f t="shared" si="68"/>
        <v>0</v>
      </c>
      <c r="CM163" s="33">
        <f t="shared" si="68"/>
        <v>25987.370791807836</v>
      </c>
      <c r="CN163" s="33">
        <f t="shared" si="68"/>
        <v>0</v>
      </c>
      <c r="CO163" s="33">
        <f t="shared" si="68"/>
        <v>0</v>
      </c>
      <c r="CP163" s="33">
        <f t="shared" si="68"/>
        <v>0</v>
      </c>
      <c r="CQ163" s="33">
        <f t="shared" si="68"/>
        <v>0</v>
      </c>
      <c r="CR163" s="33">
        <f t="shared" si="68"/>
        <v>18237.198736712715</v>
      </c>
      <c r="CS163" s="33">
        <f t="shared" si="68"/>
        <v>0</v>
      </c>
      <c r="CT163" s="33">
        <f t="shared" si="68"/>
        <v>0</v>
      </c>
      <c r="CU163" s="33">
        <f t="shared" si="68"/>
        <v>0</v>
      </c>
      <c r="CV163" s="33">
        <f t="shared" si="68"/>
        <v>0</v>
      </c>
      <c r="CW163" s="33">
        <f t="shared" si="68"/>
        <v>0</v>
      </c>
      <c r="CX163" s="33">
        <f t="shared" si="68"/>
        <v>0</v>
      </c>
      <c r="CY163" s="33">
        <f t="shared" si="68"/>
        <v>34597.121553752237</v>
      </c>
      <c r="CZ163" s="33">
        <f t="shared" si="68"/>
        <v>0</v>
      </c>
      <c r="DA163" s="33">
        <f t="shared" si="68"/>
        <v>0</v>
      </c>
      <c r="DB163" s="33">
        <f t="shared" si="68"/>
        <v>0</v>
      </c>
      <c r="DC163" s="33">
        <f t="shared" si="68"/>
        <v>0</v>
      </c>
      <c r="DD163" s="33">
        <f t="shared" si="68"/>
        <v>17913.38504626161</v>
      </c>
      <c r="DE163" s="33">
        <f t="shared" si="68"/>
        <v>0</v>
      </c>
      <c r="DF163" s="33">
        <f t="shared" si="68"/>
        <v>0</v>
      </c>
      <c r="DG163" s="33">
        <f t="shared" si="68"/>
        <v>0</v>
      </c>
      <c r="DH163" s="33">
        <f t="shared" si="68"/>
        <v>0</v>
      </c>
      <c r="DI163" s="33">
        <f t="shared" si="68"/>
        <v>0</v>
      </c>
      <c r="DJ163" s="33">
        <f t="shared" si="68"/>
        <v>0</v>
      </c>
      <c r="DK163" s="33">
        <f t="shared" si="68"/>
        <v>33903.137706508212</v>
      </c>
      <c r="DL163" s="33">
        <f t="shared" si="68"/>
        <v>0</v>
      </c>
      <c r="DM163" s="33">
        <f t="shared" si="68"/>
        <v>0</v>
      </c>
      <c r="DN163" s="33">
        <f t="shared" si="68"/>
        <v>0</v>
      </c>
      <c r="DO163" s="33">
        <f t="shared" si="68"/>
        <v>0</v>
      </c>
      <c r="DP163" s="33">
        <f t="shared" si="68"/>
        <v>16074.221560992963</v>
      </c>
      <c r="DQ163" s="33">
        <f t="shared" si="68"/>
        <v>0</v>
      </c>
      <c r="DR163" s="33">
        <f t="shared" si="68"/>
        <v>0</v>
      </c>
      <c r="DS163" s="33">
        <f t="shared" si="68"/>
        <v>0</v>
      </c>
      <c r="DT163" s="33">
        <f t="shared" si="68"/>
        <v>0</v>
      </c>
      <c r="DU163" s="33">
        <f t="shared" si="68"/>
        <v>0</v>
      </c>
      <c r="DV163" s="33">
        <f t="shared" si="68"/>
        <v>0</v>
      </c>
      <c r="DW163" s="33">
        <f t="shared" si="68"/>
        <v>30335.920163559509</v>
      </c>
      <c r="DX163" s="33">
        <f t="shared" si="68"/>
        <v>0</v>
      </c>
      <c r="DY163" s="33">
        <f t="shared" si="68"/>
        <v>0</v>
      </c>
      <c r="DZ163" s="33">
        <f t="shared" si="68"/>
        <v>0</v>
      </c>
      <c r="EA163" s="33">
        <f t="shared" si="68"/>
        <v>0</v>
      </c>
      <c r="EB163" s="33">
        <f t="shared" si="68"/>
        <v>16685.85552798603</v>
      </c>
      <c r="EC163" s="33">
        <f t="shared" si="68"/>
        <v>0</v>
      </c>
      <c r="ED163" s="33">
        <f t="shared" si="68"/>
        <v>0</v>
      </c>
      <c r="EE163" s="33">
        <f t="shared" si="68"/>
        <v>0</v>
      </c>
      <c r="EF163" s="33">
        <f t="shared" si="68"/>
        <v>0</v>
      </c>
      <c r="EG163" s="33">
        <f t="shared" si="68"/>
        <v>0</v>
      </c>
      <c r="EH163" s="33">
        <f t="shared" si="68"/>
        <v>0</v>
      </c>
      <c r="EI163" s="33">
        <f t="shared" si="68"/>
        <v>31365.377046912101</v>
      </c>
      <c r="EJ163" s="3"/>
      <c r="EK163" s="3"/>
    </row>
    <row r="164" spans="1:14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2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</row>
    <row r="165" spans="1:141" x14ac:dyDescent="0.25">
      <c r="A165" s="3"/>
      <c r="B165" s="3"/>
      <c r="C165" s="3"/>
      <c r="D165" s="3"/>
      <c r="E165" s="3"/>
      <c r="F165" s="10" t="str">
        <f>KPI!$F$170</f>
        <v>Кред. задолж-ть перед персоналом по ФОТ на конец периода</v>
      </c>
      <c r="G165" s="3"/>
      <c r="H165" s="3"/>
      <c r="I165" s="3"/>
      <c r="J165" s="5" t="str">
        <f>IF($F165="","",INDEX(KPI!$I$11:$I$275,SUMIFS(KPI!$E$11:$E$275,KPI!$F$11:$F$275,$F165)))</f>
        <v>тыс.руб.</v>
      </c>
      <c r="K165" s="3"/>
      <c r="L165" s="3"/>
      <c r="M165" s="3"/>
      <c r="N165" s="3"/>
      <c r="O165" s="3"/>
      <c r="P165" s="3"/>
      <c r="Q165" s="12"/>
      <c r="R165" s="3"/>
      <c r="S165" s="55"/>
      <c r="T165" s="33">
        <f>IF(T$9="",0,IF(OR(T$9="",DAY(EOMONTH(T$9,0))=0),0,IF((T113-((SUMIFS(условия!$202:$202,условия!$8:$8,"&lt;="&amp;T$9,условия!$9:$9,"&gt;="&amp;T$9)/DAY(EOMONTH(T$9,0)))*2*T113-S165))&lt;0,S165+T113,IF((SUMIFS(условия!$202:$202,условия!$8:$8,"&lt;="&amp;T$9,условия!$9:$9,"&gt;="&amp;T$9)/DAY(EOMONTH(T$9,0)))*2*T113-S165&lt;0,0,(SUMIFS(условия!$202:$202,условия!$8:$8,"&lt;="&amp;T$9,условия!$9:$9,"&gt;="&amp;T$9)/DAY(EOMONTH(T$9,0)))*2*T113-S165))))</f>
        <v>206.45161290322579</v>
      </c>
      <c r="U165" s="33">
        <f>IF(U$9="",0,IF(OR(U$9="",DAY(EOMONTH(U$9,0))=0),0,IF((U113-((SUMIFS(условия!$202:$202,условия!$8:$8,"&lt;="&amp;U$9,условия!$9:$9,"&gt;="&amp;U$9)/DAY(EOMONTH(U$9,0)))*2*U113-T165))&lt;0,T165+U113,IF((SUMIFS(условия!$202:$202,условия!$8:$8,"&lt;="&amp;U$9,условия!$9:$9,"&gt;="&amp;U$9)/DAY(EOMONTH(U$9,0)))*2*U113-T165&lt;0,0,(SUMIFS(условия!$202:$202,условия!$8:$8,"&lt;="&amp;U$9,условия!$9:$9,"&gt;="&amp;U$9)/DAY(EOMONTH(U$9,0)))*2*U113-T165))))</f>
        <v>22.11981566820279</v>
      </c>
      <c r="V165" s="33">
        <f>IF(V$9="",0,IF(OR(V$9="",DAY(EOMONTH(V$9,0))=0),0,IF((V113-((SUMIFS(условия!$202:$202,условия!$8:$8,"&lt;="&amp;V$9,условия!$9:$9,"&gt;="&amp;V$9)/DAY(EOMONTH(V$9,0)))*2*V113-U165))&lt;0,U165+V113,IF((SUMIFS(условия!$202:$202,условия!$8:$8,"&lt;="&amp;V$9,условия!$9:$9,"&gt;="&amp;V$9)/DAY(EOMONTH(V$9,0)))*2*V113-U165&lt;0,0,(SUMIFS(условия!$202:$202,условия!$8:$8,"&lt;="&amp;V$9,условия!$9:$9,"&gt;="&amp;V$9)/DAY(EOMONTH(V$9,0)))*2*V113-U165))))</f>
        <v>184.331797235023</v>
      </c>
      <c r="W165" s="33">
        <f>IF(W$9="",0,IF(OR(W$9="",DAY(EOMONTH(W$9,0))=0),0,IF((W113-((SUMIFS(условия!$202:$202,условия!$8:$8,"&lt;="&amp;W$9,условия!$9:$9,"&gt;="&amp;W$9)/DAY(EOMONTH(W$9,0)))*2*W113-V165))&lt;0,V165+W113,IF((SUMIFS(условия!$202:$202,условия!$8:$8,"&lt;="&amp;W$9,условия!$9:$9,"&gt;="&amp;W$9)/DAY(EOMONTH(W$9,0)))*2*W113-V165&lt;0,0,(SUMIFS(условия!$202:$202,условия!$8:$8,"&lt;="&amp;W$9,условия!$9:$9,"&gt;="&amp;W$9)/DAY(EOMONTH(W$9,0)))*2*W113-V165))))</f>
        <v>29.001536098310311</v>
      </c>
      <c r="X165" s="33">
        <f>IF(X$9="",0,IF(OR(X$9="",DAY(EOMONTH(X$9,0))=0),0,IF((X113-((SUMIFS(условия!$202:$202,условия!$8:$8,"&lt;="&amp;X$9,условия!$9:$9,"&gt;="&amp;X$9)/DAY(EOMONTH(X$9,0)))*2*X113-W165))&lt;0,W165+X113,IF((SUMIFS(условия!$202:$202,условия!$8:$8,"&lt;="&amp;X$9,условия!$9:$9,"&gt;="&amp;X$9)/DAY(EOMONTH(X$9,0)))*2*X113-W165&lt;0,0,(SUMIFS(условия!$202:$202,условия!$8:$8,"&lt;="&amp;X$9,условия!$9:$9,"&gt;="&amp;X$9)/DAY(EOMONTH(X$9,0)))*2*X113-W165))))</f>
        <v>547.09757937280506</v>
      </c>
      <c r="Y165" s="33">
        <f>IF(Y$9="",0,IF(OR(Y$9="",DAY(EOMONTH(Y$9,0))=0),0,IF((Y113-((SUMIFS(условия!$202:$202,условия!$8:$8,"&lt;="&amp;Y$9,условия!$9:$9,"&gt;="&amp;Y$9)/DAY(EOMONTH(Y$9,0)))*2*Y113-X165))&lt;0,X165+Y113,IF((SUMIFS(условия!$202:$202,условия!$8:$8,"&lt;="&amp;Y$9,условия!$9:$9,"&gt;="&amp;Y$9)/DAY(EOMONTH(Y$9,0)))*2*Y113-X165&lt;0,0,(SUMIFS(условия!$202:$202,условия!$8:$8,"&lt;="&amp;Y$9,условия!$9:$9,"&gt;="&amp;Y$9)/DAY(EOMONTH(Y$9,0)))*2*Y113-X165))))</f>
        <v>22.506187293861558</v>
      </c>
      <c r="Z165" s="33">
        <f>IF(Z$9="",0,IF(OR(Z$9="",DAY(EOMONTH(Z$9,0))=0),0,IF((Z113-((SUMIFS(условия!$202:$202,условия!$8:$8,"&lt;="&amp;Z$9,условия!$9:$9,"&gt;="&amp;Z$9)/DAY(EOMONTH(Z$9,0)))*2*Z113-Y165))&lt;0,Y165+Z113,IF((SUMIFS(условия!$202:$202,условия!$8:$8,"&lt;="&amp;Z$9,условия!$9:$9,"&gt;="&amp;Z$9)/DAY(EOMONTH(Z$9,0)))*2*Z113-Y165&lt;0,0,(SUMIFS(условия!$202:$202,условия!$8:$8,"&lt;="&amp;Z$9,условия!$9:$9,"&gt;="&amp;Z$9)/DAY(EOMONTH(Z$9,0)))*2*Z113-Y165))))</f>
        <v>529.54269311345217</v>
      </c>
      <c r="AA165" s="33">
        <f>IF(AA$9="",0,IF(OR(AA$9="",DAY(EOMONTH(AA$9,0))=0),0,IF((AA113-((SUMIFS(условия!$202:$202,условия!$8:$8,"&lt;="&amp;AA$9,условия!$9:$9,"&gt;="&amp;AA$9)/DAY(EOMONTH(AA$9,0)))*2*AA113-Z165))&lt;0,Z165+AA113,IF((SUMIFS(условия!$202:$202,условия!$8:$8,"&lt;="&amp;AA$9,условия!$9:$9,"&gt;="&amp;AA$9)/DAY(EOMONTH(AA$9,0)))*2*AA113-Z165&lt;0,0,(SUMIFS(условия!$202:$202,условия!$8:$8,"&lt;="&amp;AA$9,условия!$9:$9,"&gt;="&amp;AA$9)/DAY(EOMONTH(AA$9,0)))*2*AA113-Z165))))</f>
        <v>28.645821707418918</v>
      </c>
      <c r="AB165" s="33">
        <f>IF(AB$9="",0,IF(OR(AB$9="",DAY(EOMONTH(AB$9,0))=0),0,IF((AB113-((SUMIFS(условия!$202:$202,условия!$8:$8,"&lt;="&amp;AB$9,условия!$9:$9,"&gt;="&amp;AB$9)/DAY(EOMONTH(AB$9,0)))*2*AB113-AA165))&lt;0,AA165+AB113,IF((SUMIFS(условия!$202:$202,условия!$8:$8,"&lt;="&amp;AB$9,условия!$9:$9,"&gt;="&amp;AB$9)/DAY(EOMONTH(AB$9,0)))*2*AB113-AA165&lt;0,0,(SUMIFS(условия!$202:$202,условия!$8:$8,"&lt;="&amp;AB$9,условия!$9:$9,"&gt;="&amp;AB$9)/DAY(EOMONTH(AB$9,0)))*2*AB113-AA165))))</f>
        <v>549.09081113436298</v>
      </c>
      <c r="AC165" s="33">
        <f>IF(AC$9="",0,IF(OR(AC$9="",DAY(EOMONTH(AC$9,0))=0),0,IF((AC113-((SUMIFS(условия!$202:$202,условия!$8:$8,"&lt;="&amp;AC$9,условия!$9:$9,"&gt;="&amp;AC$9)/DAY(EOMONTH(AC$9,0)))*2*AC113-AB165))&lt;0,AB165+AC113,IF((SUMIFS(условия!$202:$202,условия!$8:$8,"&lt;="&amp;AC$9,условия!$9:$9,"&gt;="&amp;AC$9)/DAY(EOMONTH(AC$9,0)))*2*AC113-AB165&lt;0,0,(SUMIFS(условия!$202:$202,условия!$8:$8,"&lt;="&amp;AC$9,условия!$9:$9,"&gt;="&amp;AC$9)/DAY(EOMONTH(AC$9,0)))*2*AC113-AB165))))</f>
        <v>16.971952832702868</v>
      </c>
      <c r="AD165" s="33">
        <f>IF(AD$9="",0,IF(OR(AD$9="",DAY(EOMONTH(AD$9,0))=0),0,IF((AD113-((SUMIFS(условия!$202:$202,условия!$8:$8,"&lt;="&amp;AD$9,условия!$9:$9,"&gt;="&amp;AD$9)/DAY(EOMONTH(AD$9,0)))*2*AD113-AC165))&lt;0,AC165+AD113,IF((SUMIFS(условия!$202:$202,условия!$8:$8,"&lt;="&amp;AD$9,условия!$9:$9,"&gt;="&amp;AD$9)/DAY(EOMONTH(AD$9,0)))*2*AD113-AC165&lt;0,0,(SUMIFS(условия!$202:$202,условия!$8:$8,"&lt;="&amp;AD$9,условия!$9:$9,"&gt;="&amp;AD$9)/DAY(EOMONTH(AD$9,0)))*2*AD113-AC165))))</f>
        <v>576.01650766479474</v>
      </c>
      <c r="AE165" s="33">
        <f>IF(AE$9="",0,IF(OR(AE$9="",DAY(EOMONTH(AE$9,0))=0),0,IF((AE113-((SUMIFS(условия!$202:$202,условия!$8:$8,"&lt;="&amp;AE$9,условия!$9:$9,"&gt;="&amp;AE$9)/DAY(EOMONTH(AE$9,0)))*2*AE113-AD165))&lt;0,AD165+AE113,IF((SUMIFS(условия!$202:$202,условия!$8:$8,"&lt;="&amp;AE$9,условия!$9:$9,"&gt;="&amp;AE$9)/DAY(EOMONTH(AE$9,0)))*2*AE113-AD165&lt;0,0,(SUMIFS(условия!$202:$202,условия!$8:$8,"&lt;="&amp;AE$9,условия!$9:$9,"&gt;="&amp;AE$9)/DAY(EOMONTH(AE$9,0)))*2*AE113-AD165))))</f>
        <v>0</v>
      </c>
      <c r="AF165" s="33">
        <f>IF(AF$9="",0,IF(OR(AF$9="",DAY(EOMONTH(AF$9,0))=0),0,IF((AF113-((SUMIFS(условия!$202:$202,условия!$8:$8,"&lt;="&amp;AF$9,условия!$9:$9,"&gt;="&amp;AF$9)/DAY(EOMONTH(AF$9,0)))*2*AF113-AE165))&lt;0,AE165+AF113,IF((SUMIFS(условия!$202:$202,условия!$8:$8,"&lt;="&amp;AF$9,условия!$9:$9,"&gt;="&amp;AF$9)/DAY(EOMONTH(AF$9,0)))*2*AF113-AE165&lt;0,0,(SUMIFS(условия!$202:$202,условия!$8:$8,"&lt;="&amp;AF$9,условия!$9:$9,"&gt;="&amp;AF$9)/DAY(EOMONTH(AF$9,0)))*2*AF113-AE165))))</f>
        <v>937.99916300556538</v>
      </c>
      <c r="AG165" s="33">
        <f>IF(AG$9="",0,IF(OR(AG$9="",DAY(EOMONTH(AG$9,0))=0),0,IF((AG113-((SUMIFS(условия!$202:$202,условия!$8:$8,"&lt;="&amp;AG$9,условия!$9:$9,"&gt;="&amp;AG$9)/DAY(EOMONTH(AG$9,0)))*2*AG113-AF165))&lt;0,AF165+AG113,IF((SUMIFS(условия!$202:$202,условия!$8:$8,"&lt;="&amp;AG$9,условия!$9:$9,"&gt;="&amp;AG$9)/DAY(EOMONTH(AG$9,0)))*2*AG113-AF165&lt;0,0,(SUMIFS(условия!$202:$202,условия!$8:$8,"&lt;="&amp;AG$9,условия!$9:$9,"&gt;="&amp;AG$9)/DAY(EOMONTH(AG$9,0)))*2*AG113-AF165))))</f>
        <v>52.38662726908899</v>
      </c>
      <c r="AH165" s="33">
        <f>IF(AH$9="",0,IF(OR(AH$9="",DAY(EOMONTH(AH$9,0))=0),0,IF((AH113-((SUMIFS(условия!$202:$202,условия!$8:$8,"&lt;="&amp;AH$9,условия!$9:$9,"&gt;="&amp;AH$9)/DAY(EOMONTH(AH$9,0)))*2*AH113-AG165))&lt;0,AG165+AH113,IF((SUMIFS(условия!$202:$202,условия!$8:$8,"&lt;="&amp;AH$9,условия!$9:$9,"&gt;="&amp;AH$9)/DAY(EOMONTH(AH$9,0)))*2*AH113-AG165&lt;0,0,(SUMIFS(условия!$202:$202,условия!$8:$8,"&lt;="&amp;AH$9,условия!$9:$9,"&gt;="&amp;AH$9)/DAY(EOMONTH(AH$9,0)))*2*AH113-AG165))))</f>
        <v>861.45752800250307</v>
      </c>
      <c r="AI165" s="33">
        <f>IF(AI$9="",0,IF(OR(AI$9="",DAY(EOMONTH(AI$9,0))=0),0,IF((AI113-((SUMIFS(условия!$202:$202,условия!$8:$8,"&lt;="&amp;AI$9,условия!$9:$9,"&gt;="&amp;AI$9)/DAY(EOMONTH(AI$9,0)))*2*AI113-AH165))&lt;0,AH165+AI113,IF((SUMIFS(условия!$202:$202,условия!$8:$8,"&lt;="&amp;AI$9,условия!$9:$9,"&gt;="&amp;AI$9)/DAY(EOMONTH(AI$9,0)))*2*AI113-AH165&lt;0,0,(SUMIFS(условия!$202:$202,условия!$8:$8,"&lt;="&amp;AI$9,условия!$9:$9,"&gt;="&amp;AI$9)/DAY(EOMONTH(AI$9,0)))*2*AI113-AH165))))</f>
        <v>67.713780915862458</v>
      </c>
      <c r="AJ165" s="33">
        <f>IF(AJ$9="",0,IF(OR(AJ$9="",DAY(EOMONTH(AJ$9,0))=0),0,IF((AJ113-((SUMIFS(условия!$202:$202,условия!$8:$8,"&lt;="&amp;AJ$9,условия!$9:$9,"&gt;="&amp;AJ$9)/DAY(EOMONTH(AJ$9,0)))*2*AJ113-AI165))&lt;0,AI165+AJ113,IF((SUMIFS(условия!$202:$202,условия!$8:$8,"&lt;="&amp;AJ$9,условия!$9:$9,"&gt;="&amp;AJ$9)/DAY(EOMONTH(AJ$9,0)))*2*AJ113-AI165&lt;0,0,(SUMIFS(условия!$202:$202,условия!$8:$8,"&lt;="&amp;AJ$9,условия!$9:$9,"&gt;="&amp;AJ$9)/DAY(EOMONTH(AJ$9,0)))*2*AJ113-AI165))))</f>
        <v>827.89310871683188</v>
      </c>
      <c r="AK165" s="33">
        <f>IF(AK$9="",0,IF(OR(AK$9="",DAY(EOMONTH(AK$9,0))=0),0,IF((AK113-((SUMIFS(условия!$202:$202,условия!$8:$8,"&lt;="&amp;AK$9,условия!$9:$9,"&gt;="&amp;AK$9)/DAY(EOMONTH(AK$9,0)))*2*AK113-AJ165))&lt;0,AJ165+AK113,IF((SUMIFS(условия!$202:$202,условия!$8:$8,"&lt;="&amp;AK$9,условия!$9:$9,"&gt;="&amp;AK$9)/DAY(EOMONTH(AK$9,0)))*2*AK113-AJ165&lt;0,0,(SUMIFS(условия!$202:$202,условия!$8:$8,"&lt;="&amp;AK$9,условия!$9:$9,"&gt;="&amp;AK$9)/DAY(EOMONTH(AK$9,0)))*2*AK113-AJ165))))</f>
        <v>99.767865196563775</v>
      </c>
      <c r="AL165" s="33">
        <f>IF(AL$9="",0,IF(OR(AL$9="",DAY(EOMONTH(AL$9,0))=0),0,IF((AL113-((SUMIFS(условия!$202:$202,условия!$8:$8,"&lt;="&amp;AL$9,условия!$9:$9,"&gt;="&amp;AL$9)/DAY(EOMONTH(AL$9,0)))*2*AL113-AK165))&lt;0,AK165+AL113,IF((SUMIFS(условия!$202:$202,условия!$8:$8,"&lt;="&amp;AL$9,условия!$9:$9,"&gt;="&amp;AL$9)/DAY(EOMONTH(AL$9,0)))*2*AL113-AK165&lt;0,0,(SUMIFS(условия!$202:$202,условия!$8:$8,"&lt;="&amp;AL$9,условия!$9:$9,"&gt;="&amp;AL$9)/DAY(EOMONTH(AL$9,0)))*2*AL113-AK165))))</f>
        <v>795.7150749946079</v>
      </c>
      <c r="AM165" s="33">
        <f>IF(AM$9="",0,IF(OR(AM$9="",DAY(EOMONTH(AM$9,0))=0),0,IF((AM113-((SUMIFS(условия!$202:$202,условия!$8:$8,"&lt;="&amp;AM$9,условия!$9:$9,"&gt;="&amp;AM$9)/DAY(EOMONTH(AM$9,0)))*2*AM113-AL165))&lt;0,AL165+AM113,IF((SUMIFS(условия!$202:$202,условия!$8:$8,"&lt;="&amp;AM$9,условия!$9:$9,"&gt;="&amp;AM$9)/DAY(EOMONTH(AM$9,0)))*2*AM113-AL165&lt;0,0,(SUMIFS(условия!$202:$202,условия!$8:$8,"&lt;="&amp;AM$9,условия!$9:$9,"&gt;="&amp;AM$9)/DAY(EOMONTH(AM$9,0)))*2*AM113-AL165))))</f>
        <v>119.14627990138899</v>
      </c>
      <c r="AN165" s="33">
        <f>IF(AN$9="",0,IF(OR(AN$9="",DAY(EOMONTH(AN$9,0))=0),0,IF((AN113-((SUMIFS(условия!$202:$202,условия!$8:$8,"&lt;="&amp;AN$9,условия!$9:$9,"&gt;="&amp;AN$9)/DAY(EOMONTH(AN$9,0)))*2*AN113-AM165))&lt;0,AM165+AN113,IF((SUMIFS(условия!$202:$202,условия!$8:$8,"&lt;="&amp;AN$9,условия!$9:$9,"&gt;="&amp;AN$9)/DAY(EOMONTH(AN$9,0)))*2*AN113-AM165&lt;0,0,(SUMIFS(условия!$202:$202,условия!$8:$8,"&lt;="&amp;AN$9,условия!$9:$9,"&gt;="&amp;AN$9)/DAY(EOMONTH(AN$9,0)))*2*AN113-AM165))))</f>
        <v>850.14909044575495</v>
      </c>
      <c r="AO165" s="33">
        <f>IF(AO$9="",0,IF(OR(AO$9="",DAY(EOMONTH(AO$9,0))=0),0,IF((AO113-((SUMIFS(условия!$202:$202,условия!$8:$8,"&lt;="&amp;AO$9,условия!$9:$9,"&gt;="&amp;AO$9)/DAY(EOMONTH(AO$9,0)))*2*AO113-AN165))&lt;0,AN165+AO113,IF((SUMIFS(условия!$202:$202,условия!$8:$8,"&lt;="&amp;AO$9,условия!$9:$9,"&gt;="&amp;AO$9)/DAY(EOMONTH(AO$9,0)))*2*AO113-AN165&lt;0,0,(SUMIFS(условия!$202:$202,условия!$8:$8,"&lt;="&amp;AO$9,условия!$9:$9,"&gt;="&amp;AO$9)/DAY(EOMONTH(AO$9,0)))*2*AO113-AN165))))</f>
        <v>76.245264639877632</v>
      </c>
      <c r="AP165" s="33">
        <f>IF(AP$9="",0,IF(OR(AP$9="",DAY(EOMONTH(AP$9,0))=0),0,IF((AP113-((SUMIFS(условия!$202:$202,условия!$8:$8,"&lt;="&amp;AP$9,условия!$9:$9,"&gt;="&amp;AP$9)/DAY(EOMONTH(AP$9,0)))*2*AP113-AO165))&lt;0,AO165+AP113,IF((SUMIFS(условия!$202:$202,условия!$8:$8,"&lt;="&amp;AP$9,условия!$9:$9,"&gt;="&amp;AP$9)/DAY(EOMONTH(AP$9,0)))*2*AP113-AO165&lt;0,0,(SUMIFS(условия!$202:$202,условия!$8:$8,"&lt;="&amp;AP$9,условия!$9:$9,"&gt;="&amp;AP$9)/DAY(EOMONTH(AP$9,0)))*2*AP113-AO165))))</f>
        <v>957.65774326860651</v>
      </c>
      <c r="AQ165" s="33">
        <f>IF(AQ$9="",0,IF(OR(AQ$9="",DAY(EOMONTH(AQ$9,0))=0),0,IF((AQ113-((SUMIFS(условия!$202:$202,условия!$8:$8,"&lt;="&amp;AQ$9,условия!$9:$9,"&gt;="&amp;AQ$9)/DAY(EOMONTH(AQ$9,0)))*2*AQ113-AP165))&lt;0,AP165+AQ113,IF((SUMIFS(условия!$202:$202,условия!$8:$8,"&lt;="&amp;AQ$9,условия!$9:$9,"&gt;="&amp;AQ$9)/DAY(EOMONTH(AQ$9,0)))*2*AQ113-AP165&lt;0,0,(SUMIFS(условия!$202:$202,условия!$8:$8,"&lt;="&amp;AQ$9,условия!$9:$9,"&gt;="&amp;AQ$9)/DAY(EOMONTH(AQ$9,0)))*2*AQ113-AP165))))</f>
        <v>0</v>
      </c>
      <c r="AR165" s="33">
        <f>IF(AR$9="",0,IF(OR(AR$9="",DAY(EOMONTH(AR$9,0))=0),0,IF((AR113-((SUMIFS(условия!$202:$202,условия!$8:$8,"&lt;="&amp;AR$9,условия!$9:$9,"&gt;="&amp;AR$9)/DAY(EOMONTH(AR$9,0)))*2*AR113-AQ165))&lt;0,AQ165+AR113,IF((SUMIFS(условия!$202:$202,условия!$8:$8,"&lt;="&amp;AR$9,условия!$9:$9,"&gt;="&amp;AR$9)/DAY(EOMONTH(AR$9,0)))*2*AR113-AQ165&lt;0,0,(SUMIFS(условия!$202:$202,условия!$8:$8,"&lt;="&amp;AR$9,условия!$9:$9,"&gt;="&amp;AR$9)/DAY(EOMONTH(AR$9,0)))*2*AR113-AQ165))))</f>
        <v>1068.6918882518041</v>
      </c>
      <c r="AS165" s="33">
        <f>IF(AS$9="",0,IF(OR(AS$9="",DAY(EOMONTH(AS$9,0))=0),0,IF((AS113-((SUMIFS(условия!$202:$202,условия!$8:$8,"&lt;="&amp;AS$9,условия!$9:$9,"&gt;="&amp;AS$9)/DAY(EOMONTH(AS$9,0)))*2*AS113-AR165))&lt;0,AR165+AS113,IF((SUMIFS(условия!$202:$202,условия!$8:$8,"&lt;="&amp;AS$9,условия!$9:$9,"&gt;="&amp;AS$9)/DAY(EOMONTH(AS$9,0)))*2*AS113-AR165&lt;0,0,(SUMIFS(условия!$202:$202,условия!$8:$8,"&lt;="&amp;AS$9,условия!$9:$9,"&gt;="&amp;AS$9)/DAY(EOMONTH(AS$9,0)))*2*AS113-AR165))))</f>
        <v>48.673340430223561</v>
      </c>
      <c r="AT165" s="33">
        <f>IF(AT$9="",0,IF(OR(AT$9="",DAY(EOMONTH(AT$9,0))=0),0,IF((AT113-((SUMIFS(условия!$202:$202,условия!$8:$8,"&lt;="&amp;AT$9,условия!$9:$9,"&gt;="&amp;AT$9)/DAY(EOMONTH(AT$9,0)))*2*AT113-AS165))&lt;0,AS165+AT113,IF((SUMIFS(условия!$202:$202,условия!$8:$8,"&lt;="&amp;AT$9,условия!$9:$9,"&gt;="&amp;AT$9)/DAY(EOMONTH(AT$9,0)))*2*AT113-AS165&lt;0,0,(SUMIFS(условия!$202:$202,условия!$8:$8,"&lt;="&amp;AT$9,условия!$9:$9,"&gt;="&amp;AT$9)/DAY(EOMONTH(AT$9,0)))*2*AT113-AS165))))</f>
        <v>1052.6589112868219</v>
      </c>
      <c r="AU165" s="33">
        <f>IF(AU$9="",0,IF(OR(AU$9="",DAY(EOMONTH(AU$9,0))=0),0,IF((AU113-((SUMIFS(условия!$202:$202,условия!$8:$8,"&lt;="&amp;AU$9,условия!$9:$9,"&gt;="&amp;AU$9)/DAY(EOMONTH(AU$9,0)))*2*AU113-AT165))&lt;0,AT165+AU113,IF((SUMIFS(условия!$202:$202,условия!$8:$8,"&lt;="&amp;AU$9,условия!$9:$9,"&gt;="&amp;AU$9)/DAY(EOMONTH(AU$9,0)))*2*AU113-AT165&lt;0,0,(SUMIFS(условия!$202:$202,условия!$8:$8,"&lt;="&amp;AU$9,условия!$9:$9,"&gt;="&amp;AU$9)/DAY(EOMONTH(AU$9,0)))*2*AU113-AT165))))</f>
        <v>3.9239819123176858</v>
      </c>
      <c r="AV165" s="33">
        <f>IF(AV$9="",0,IF(OR(AV$9="",DAY(EOMONTH(AV$9,0))=0),0,IF((AV113-((SUMIFS(условия!$202:$202,условия!$8:$8,"&lt;="&amp;AV$9,условия!$9:$9,"&gt;="&amp;AV$9)/DAY(EOMONTH(AV$9,0)))*2*AV113-AU165))&lt;0,AU165+AV113,IF((SUMIFS(условия!$202:$202,условия!$8:$8,"&lt;="&amp;AV$9,условия!$9:$9,"&gt;="&amp;AV$9)/DAY(EOMONTH(AV$9,0)))*2*AV113-AU165&lt;0,0,(SUMIFS(условия!$202:$202,условия!$8:$8,"&lt;="&amp;AV$9,условия!$9:$9,"&gt;="&amp;AV$9)/DAY(EOMONTH(AV$9,0)))*2*AV113-AU165))))</f>
        <v>999.11009199402986</v>
      </c>
      <c r="AW165" s="33">
        <f>IF(AW$9="",0,IF(OR(AW$9="",DAY(EOMONTH(AW$9,0))=0),0,IF((AW113-((SUMIFS(условия!$202:$202,условия!$8:$8,"&lt;="&amp;AW$9,условия!$9:$9,"&gt;="&amp;AW$9)/DAY(EOMONTH(AW$9,0)))*2*AW113-AV165))&lt;0,AV165+AW113,IF((SUMIFS(условия!$202:$202,условия!$8:$8,"&lt;="&amp;AW$9,условия!$9:$9,"&gt;="&amp;AW$9)/DAY(EOMONTH(AW$9,0)))*2*AW113-AV165&lt;0,0,(SUMIFS(условия!$202:$202,условия!$8:$8,"&lt;="&amp;AW$9,условия!$9:$9,"&gt;="&amp;AW$9)/DAY(EOMONTH(AW$9,0)))*2*AW113-AV165))))</f>
        <v>34.441729907045215</v>
      </c>
      <c r="AX165" s="33">
        <f>IF(AX$9="",0,IF(OR(AX$9="",DAY(EOMONTH(AX$9,0))=0),0,IF((AX113-((SUMIFS(условия!$202:$202,условия!$8:$8,"&lt;="&amp;AX$9,условия!$9:$9,"&gt;="&amp;AX$9)/DAY(EOMONTH(AX$9,0)))*2*AX113-AW165))&lt;0,AW165+AX113,IF((SUMIFS(условия!$202:$202,условия!$8:$8,"&lt;="&amp;AX$9,условия!$9:$9,"&gt;="&amp;AX$9)/DAY(EOMONTH(AX$9,0)))*2*AX113-AW165&lt;0,0,(SUMIFS(условия!$202:$202,условия!$8:$8,"&lt;="&amp;AX$9,условия!$9:$9,"&gt;="&amp;AX$9)/DAY(EOMONTH(AX$9,0)))*2*AX113-AW165))))</f>
        <v>977.0190891826295</v>
      </c>
      <c r="AY165" s="33">
        <f>IF(AY$9="",0,IF(OR(AY$9="",DAY(EOMONTH(AY$9,0))=0),0,IF((AY113-((SUMIFS(условия!$202:$202,условия!$8:$8,"&lt;="&amp;AY$9,условия!$9:$9,"&gt;="&amp;AY$9)/DAY(EOMONTH(AY$9,0)))*2*AY113-AX165))&lt;0,AX165+AY113,IF((SUMIFS(условия!$202:$202,условия!$8:$8,"&lt;="&amp;AY$9,условия!$9:$9,"&gt;="&amp;AY$9)/DAY(EOMONTH(AY$9,0)))*2*AY113-AX165&lt;0,0,(SUMIFS(условия!$202:$202,условия!$8:$8,"&lt;="&amp;AY$9,условия!$9:$9,"&gt;="&amp;AY$9)/DAY(EOMONTH(AY$9,0)))*2*AY113-AX165))))</f>
        <v>88.323257327192209</v>
      </c>
      <c r="AZ165" s="33">
        <f>IF(AZ$9="",0,IF(OR(AZ$9="",DAY(EOMONTH(AZ$9,0))=0),0,IF((AZ113-((SUMIFS(условия!$202:$202,условия!$8:$8,"&lt;="&amp;AZ$9,условия!$9:$9,"&gt;="&amp;AZ$9)/DAY(EOMONTH(AZ$9,0)))*2*AZ113-AY165))&lt;0,AY165+AZ113,IF((SUMIFS(условия!$202:$202,условия!$8:$8,"&lt;="&amp;AZ$9,условия!$9:$9,"&gt;="&amp;AZ$9)/DAY(EOMONTH(AZ$9,0)))*2*AZ113-AY165&lt;0,0,(SUMIFS(условия!$202:$202,условия!$8:$8,"&lt;="&amp;AZ$9,условия!$9:$9,"&gt;="&amp;AZ$9)/DAY(EOMONTH(AZ$9,0)))*2*AZ113-AY165))))</f>
        <v>1066.6336070068487</v>
      </c>
      <c r="BA165" s="33">
        <f>IF(BA$9="",0,IF(OR(BA$9="",DAY(EOMONTH(BA$9,0))=0),0,IF((BA113-((SUMIFS(условия!$202:$202,условия!$8:$8,"&lt;="&amp;BA$9,условия!$9:$9,"&gt;="&amp;BA$9)/DAY(EOMONTH(BA$9,0)))*2*BA113-AZ165))&lt;0,AZ165+BA113,IF((SUMIFS(условия!$202:$202,условия!$8:$8,"&lt;="&amp;BA$9,условия!$9:$9,"&gt;="&amp;BA$9)/DAY(EOMONTH(BA$9,0)))*2*BA113-AZ165&lt;0,0,(SUMIFS(условия!$202:$202,условия!$8:$8,"&lt;="&amp;BA$9,условия!$9:$9,"&gt;="&amp;BA$9)/DAY(EOMONTH(BA$9,0)))*2*BA113-AZ165))))</f>
        <v>46.058448326731877</v>
      </c>
      <c r="BB165" s="33">
        <f>IF(BB$9="",0,IF(OR(BB$9="",DAY(EOMONTH(BB$9,0))=0),0,IF((BB113-((SUMIFS(условия!$202:$202,условия!$8:$8,"&lt;="&amp;BB$9,условия!$9:$9,"&gt;="&amp;BB$9)/DAY(EOMONTH(BB$9,0)))*2*BB113-BA165))&lt;0,BA165+BB113,IF((SUMIFS(условия!$202:$202,условия!$8:$8,"&lt;="&amp;BB$9,условия!$9:$9,"&gt;="&amp;BB$9)/DAY(EOMONTH(BB$9,0)))*2*BB113-BA165&lt;0,0,(SUMIFS(условия!$202:$202,условия!$8:$8,"&lt;="&amp;BB$9,условия!$9:$9,"&gt;="&amp;BB$9)/DAY(EOMONTH(BB$9,0)))*2*BB113-BA165))))</f>
        <v>1276.149218242085</v>
      </c>
      <c r="BC165" s="33">
        <f>IF(BC$9="",0,IF(OR(BC$9="",DAY(EOMONTH(BC$9,0))=0),0,IF((BC113-((SUMIFS(условия!$202:$202,условия!$8:$8,"&lt;="&amp;BC$9,условия!$9:$9,"&gt;="&amp;BC$9)/DAY(EOMONTH(BC$9,0)))*2*BC113-BB165))&lt;0,BB165+BC113,IF((SUMIFS(условия!$202:$202,условия!$8:$8,"&lt;="&amp;BC$9,условия!$9:$9,"&gt;="&amp;BC$9)/DAY(EOMONTH(BC$9,0)))*2*BC113-BB165&lt;0,0,(SUMIFS(условия!$202:$202,условия!$8:$8,"&lt;="&amp;BC$9,условия!$9:$9,"&gt;="&amp;BC$9)/DAY(EOMONTH(BC$9,0)))*2*BC113-BB165))))</f>
        <v>0</v>
      </c>
      <c r="BD165" s="33">
        <f>IF(BD$9="",0,IF(OR(BD$9="",DAY(EOMONTH(BD$9,0))=0),0,IF((BD113-((SUMIFS(условия!$202:$202,условия!$8:$8,"&lt;="&amp;BD$9,условия!$9:$9,"&gt;="&amp;BD$9)/DAY(EOMONTH(BD$9,0)))*2*BD113-BC165))&lt;0,BC165+BD113,IF((SUMIFS(условия!$202:$202,условия!$8:$8,"&lt;="&amp;BD$9,условия!$9:$9,"&gt;="&amp;BD$9)/DAY(EOMONTH(BD$9,0)))*2*BD113-BC165&lt;0,0,(SUMIFS(условия!$202:$202,условия!$8:$8,"&lt;="&amp;BD$9,условия!$9:$9,"&gt;="&amp;BD$9)/DAY(EOMONTH(BD$9,0)))*2*BD113-BC165))))</f>
        <v>1247.6247971629552</v>
      </c>
      <c r="BE165" s="33">
        <f>IF(BE$9="",0,IF(OR(BE$9="",DAY(EOMONTH(BE$9,0))=0),0,IF((BE113-((SUMIFS(условия!$202:$202,условия!$8:$8,"&lt;="&amp;BE$9,условия!$9:$9,"&gt;="&amp;BE$9)/DAY(EOMONTH(BE$9,0)))*2*BE113-BD165))&lt;0,BD165+BE113,IF((SUMIFS(условия!$202:$202,условия!$8:$8,"&lt;="&amp;BE$9,условия!$9:$9,"&gt;="&amp;BE$9)/DAY(EOMONTH(BE$9,0)))*2*BE113-BD165&lt;0,0,(SUMIFS(условия!$202:$202,условия!$8:$8,"&lt;="&amp;BE$9,условия!$9:$9,"&gt;="&amp;BE$9)/DAY(EOMONTH(BE$9,0)))*2*BE113-BD165))))</f>
        <v>55.812864218472896</v>
      </c>
      <c r="BF165" s="33">
        <f>IF(BF$9="",0,IF(OR(BF$9="",DAY(EOMONTH(BF$9,0))=0),0,IF((BF113-((SUMIFS(условия!$202:$202,условия!$8:$8,"&lt;="&amp;BF$9,условия!$9:$9,"&gt;="&amp;BF$9)/DAY(EOMONTH(BF$9,0)))*2*BF113-BE165))&lt;0,BE165+BF113,IF((SUMIFS(условия!$202:$202,условия!$8:$8,"&lt;="&amp;BF$9,условия!$9:$9,"&gt;="&amp;BF$9)/DAY(EOMONTH(BF$9,0)))*2*BF113-BE165&lt;0,0,(SUMIFS(условия!$202:$202,условия!$8:$8,"&lt;="&amp;BF$9,условия!$9:$9,"&gt;="&amp;BF$9)/DAY(EOMONTH(BF$9,0)))*2*BF113-BE165))))</f>
        <v>1316.3971969343336</v>
      </c>
      <c r="BG165" s="33">
        <f>IF(BG$9="",0,IF(OR(BG$9="",DAY(EOMONTH(BG$9,0))=0),0,IF((BG113-((SUMIFS(условия!$202:$202,условия!$8:$8,"&lt;="&amp;BG$9,условия!$9:$9,"&gt;="&amp;BG$9)/DAY(EOMONTH(BG$9,0)))*2*BG113-BF165))&lt;0,BF165+BG113,IF((SUMIFS(условия!$202:$202,условия!$8:$8,"&lt;="&amp;BG$9,условия!$9:$9,"&gt;="&amp;BG$9)/DAY(EOMONTH(BG$9,0)))*2*BG113-BF165&lt;0,0,(SUMIFS(условия!$202:$202,условия!$8:$8,"&lt;="&amp;BG$9,условия!$9:$9,"&gt;="&amp;BG$9)/DAY(EOMONTH(BG$9,0)))*2*BG113-BF165))))</f>
        <v>0</v>
      </c>
      <c r="BH165" s="33">
        <f>IF(BH$9="",0,IF(OR(BH$9="",DAY(EOMONTH(BH$9,0))=0),0,IF((BH113-((SUMIFS(условия!$202:$202,условия!$8:$8,"&lt;="&amp;BH$9,условия!$9:$9,"&gt;="&amp;BH$9)/DAY(EOMONTH(BH$9,0)))*2*BH113-BG165))&lt;0,BG165+BH113,IF((SUMIFS(условия!$202:$202,условия!$8:$8,"&lt;="&amp;BH$9,условия!$9:$9,"&gt;="&amp;BH$9)/DAY(EOMONTH(BH$9,0)))*2*BH113-BG165&lt;0,0,(SUMIFS(условия!$202:$202,условия!$8:$8,"&lt;="&amp;BH$9,условия!$9:$9,"&gt;="&amp;BH$9)/DAY(EOMONTH(BH$9,0)))*2*BH113-BG165))))</f>
        <v>1168.9609957138325</v>
      </c>
      <c r="BI165" s="33">
        <f>IF(BI$9="",0,IF(OR(BI$9="",DAY(EOMONTH(BI$9,0))=0),0,IF((BI113-((SUMIFS(условия!$202:$202,условия!$8:$8,"&lt;="&amp;BI$9,условия!$9:$9,"&gt;="&amp;BI$9)/DAY(EOMONTH(BI$9,0)))*2*BI113-BH165))&lt;0,BH165+BI113,IF((SUMIFS(условия!$202:$202,условия!$8:$8,"&lt;="&amp;BI$9,условия!$9:$9,"&gt;="&amp;BI$9)/DAY(EOMONTH(BI$9,0)))*2*BI113-BH165&lt;0,0,(SUMIFS(условия!$202:$202,условия!$8:$8,"&lt;="&amp;BI$9,условия!$9:$9,"&gt;="&amp;BI$9)/DAY(EOMONTH(BI$9,0)))*2*BI113-BH165))))</f>
        <v>94.574501980480363</v>
      </c>
      <c r="BJ165" s="33">
        <f>IF(BJ$9="",0,IF(OR(BJ$9="",DAY(EOMONTH(BJ$9,0))=0),0,IF((BJ113-((SUMIFS(условия!$202:$202,условия!$8:$8,"&lt;="&amp;BJ$9,условия!$9:$9,"&gt;="&amp;BJ$9)/DAY(EOMONTH(BJ$9,0)))*2*BJ113-BI165))&lt;0,BI165+BJ113,IF((SUMIFS(условия!$202:$202,условия!$8:$8,"&lt;="&amp;BJ$9,условия!$9:$9,"&gt;="&amp;BJ$9)/DAY(EOMONTH(BJ$9,0)))*2*BJ113-BI165&lt;0,0,(SUMIFS(условия!$202:$202,условия!$8:$8,"&lt;="&amp;BJ$9,условия!$9:$9,"&gt;="&amp;BJ$9)/DAY(EOMONTH(BJ$9,0)))*2*BJ113-BI165))))</f>
        <v>1063.4696632517705</v>
      </c>
      <c r="BK165" s="33">
        <f>IF(BK$9="",0,IF(OR(BK$9="",DAY(EOMONTH(BK$9,0))=0),0,IF((BK113-((SUMIFS(условия!$202:$202,условия!$8:$8,"&lt;="&amp;BK$9,условия!$9:$9,"&gt;="&amp;BK$9)/DAY(EOMONTH(BK$9,0)))*2*BK113-BJ165))&lt;0,BJ165+BK113,IF((SUMIFS(условия!$202:$202,условия!$8:$8,"&lt;="&amp;BK$9,условия!$9:$9,"&gt;="&amp;BK$9)/DAY(EOMONTH(BK$9,0)))*2*BK113-BJ165&lt;0,0,(SUMIFS(условия!$202:$202,условия!$8:$8,"&lt;="&amp;BK$9,условия!$9:$9,"&gt;="&amp;BK$9)/DAY(EOMONTH(BK$9,0)))*2*BK113-BJ165))))</f>
        <v>292.38713047083775</v>
      </c>
      <c r="BL165" s="33">
        <f>IF(BL$9="",0,IF(OR(BL$9="",DAY(EOMONTH(BL$9,0))=0),0,IF((BL113-((SUMIFS(условия!$202:$202,условия!$8:$8,"&lt;="&amp;BL$9,условия!$9:$9,"&gt;="&amp;BL$9)/DAY(EOMONTH(BL$9,0)))*2*BL113-BK165))&lt;0,BK165+BL113,IF((SUMIFS(условия!$202:$202,условия!$8:$8,"&lt;="&amp;BL$9,условия!$9:$9,"&gt;="&amp;BL$9)/DAY(EOMONTH(BL$9,0)))*2*BL113-BK165&lt;0,0,(SUMIFS(условия!$202:$202,условия!$8:$8,"&lt;="&amp;BL$9,условия!$9:$9,"&gt;="&amp;BL$9)/DAY(EOMONTH(BL$9,0)))*2*BL113-BK165))))</f>
        <v>1086.4522976928806</v>
      </c>
      <c r="BM165" s="33">
        <f>IF(BM$9="",0,IF(OR(BM$9="",DAY(EOMONTH(BM$9,0))=0),0,IF((BM113-((SUMIFS(условия!$202:$202,условия!$8:$8,"&lt;="&amp;BM$9,условия!$9:$9,"&gt;="&amp;BM$9)/DAY(EOMONTH(BM$9,0)))*2*BM113-BL165))&lt;0,BL165+BM113,IF((SUMIFS(условия!$202:$202,условия!$8:$8,"&lt;="&amp;BM$9,условия!$9:$9,"&gt;="&amp;BM$9)/DAY(EOMONTH(BM$9,0)))*2*BM113-BL165&lt;0,0,(SUMIFS(условия!$202:$202,условия!$8:$8,"&lt;="&amp;BM$9,условия!$9:$9,"&gt;="&amp;BM$9)/DAY(EOMONTH(BM$9,0)))*2*BM113-BL165))))</f>
        <v>439.36353885888252</v>
      </c>
      <c r="BN165" s="33">
        <f>IF(BN$9="",0,IF(OR(BN$9="",DAY(EOMONTH(BN$9,0))=0),0,IF((BN113-((SUMIFS(условия!$202:$202,условия!$8:$8,"&lt;="&amp;BN$9,условия!$9:$9,"&gt;="&amp;BN$9)/DAY(EOMONTH(BN$9,0)))*2*BN113-BM165))&lt;0,BM165+BN113,IF((SUMIFS(условия!$202:$202,условия!$8:$8,"&lt;="&amp;BN$9,условия!$9:$9,"&gt;="&amp;BN$9)/DAY(EOMONTH(BN$9,0)))*2*BN113-BM165&lt;0,0,(SUMIFS(условия!$202:$202,условия!$8:$8,"&lt;="&amp;BN$9,условия!$9:$9,"&gt;="&amp;BN$9)/DAY(EOMONTH(BN$9,0)))*2*BN113-BM165))))</f>
        <v>1203.9199454131535</v>
      </c>
      <c r="BO165" s="33">
        <f>IF(BO$9="",0,IF(OR(BO$9="",DAY(EOMONTH(BO$9,0))=0),0,IF((BO113-((SUMIFS(условия!$202:$202,условия!$8:$8,"&lt;="&amp;BO$9,условия!$9:$9,"&gt;="&amp;BO$9)/DAY(EOMONTH(BO$9,0)))*2*BO113-BN165))&lt;0,BN165+BO113,IF((SUMIFS(условия!$202:$202,условия!$8:$8,"&lt;="&amp;BO$9,условия!$9:$9,"&gt;="&amp;BO$9)/DAY(EOMONTH(BO$9,0)))*2*BO113-BN165&lt;0,0,(SUMIFS(условия!$202:$202,условия!$8:$8,"&lt;="&amp;BO$9,условия!$9:$9,"&gt;="&amp;BO$9)/DAY(EOMONTH(BO$9,0)))*2*BO113-BN165))))</f>
        <v>91.837737286333777</v>
      </c>
      <c r="BP165" s="33">
        <f>IF(BP$9="",0,IF(OR(BP$9="",DAY(EOMONTH(BP$9,0))=0),0,IF((BP113-((SUMIFS(условия!$202:$202,условия!$8:$8,"&lt;="&amp;BP$9,условия!$9:$9,"&gt;="&amp;BP$9)/DAY(EOMONTH(BP$9,0)))*2*BP113-BO165))&lt;0,BO165+BP113,IF((SUMIFS(условия!$202:$202,условия!$8:$8,"&lt;="&amp;BP$9,условия!$9:$9,"&gt;="&amp;BP$9)/DAY(EOMONTH(BP$9,0)))*2*BP113-BO165&lt;0,0,(SUMIFS(условия!$202:$202,условия!$8:$8,"&lt;="&amp;BP$9,условия!$9:$9,"&gt;="&amp;BP$9)/DAY(EOMONTH(BP$9,0)))*2*BP113-BO165))))</f>
        <v>1343.8420842570465</v>
      </c>
      <c r="BQ165" s="33">
        <f>IF(BQ$9="",0,IF(OR(BQ$9="",DAY(EOMONTH(BQ$9,0))=0),0,IF((BQ113-((SUMIFS(условия!$202:$202,условия!$8:$8,"&lt;="&amp;BQ$9,условия!$9:$9,"&gt;="&amp;BQ$9)/DAY(EOMONTH(BQ$9,0)))*2*BQ113-BP165))&lt;0,BP165+BQ113,IF((SUMIFS(условия!$202:$202,условия!$8:$8,"&lt;="&amp;BQ$9,условия!$9:$9,"&gt;="&amp;BQ$9)/DAY(EOMONTH(BQ$9,0)))*2*BQ113-BP165&lt;0,0,(SUMIFS(условия!$202:$202,условия!$8:$8,"&lt;="&amp;BQ$9,условия!$9:$9,"&gt;="&amp;BQ$9)/DAY(EOMONTH(BQ$9,0)))*2*BQ113-BP165))))</f>
        <v>541.80336925625897</v>
      </c>
      <c r="BR165" s="33">
        <f>IF(BR$9="",0,IF(OR(BR$9="",DAY(EOMONTH(BR$9,0))=0),0,IF((BR113-((SUMIFS(условия!$202:$202,условия!$8:$8,"&lt;="&amp;BR$9,условия!$9:$9,"&gt;="&amp;BR$9)/DAY(EOMONTH(BR$9,0)))*2*BR113-BQ165))&lt;0,BQ165+BR113,IF((SUMIFS(условия!$202:$202,условия!$8:$8,"&lt;="&amp;BR$9,условия!$9:$9,"&gt;="&amp;BR$9)/DAY(EOMONTH(BR$9,0)))*2*BR113-BQ165&lt;0,0,(SUMIFS(условия!$202:$202,условия!$8:$8,"&lt;="&amp;BR$9,условия!$9:$9,"&gt;="&amp;BR$9)/DAY(EOMONTH(BR$9,0)))*2*BR113-BQ165))))</f>
        <v>938.2395020503368</v>
      </c>
      <c r="BS165" s="33">
        <f>IF(BS$9="",0,IF(OR(BS$9="",DAY(EOMONTH(BS$9,0))=0),0,IF((BS113-((SUMIFS(условия!$202:$202,условия!$8:$8,"&lt;="&amp;BS$9,условия!$9:$9,"&gt;="&amp;BS$9)/DAY(EOMONTH(BS$9,0)))*2*BS113-BR165))&lt;0,BR165+BS113,IF((SUMIFS(условия!$202:$202,условия!$8:$8,"&lt;="&amp;BS$9,условия!$9:$9,"&gt;="&amp;BS$9)/DAY(EOMONTH(BS$9,0)))*2*BS113-BR165&lt;0,0,(SUMIFS(условия!$202:$202,условия!$8:$8,"&lt;="&amp;BS$9,условия!$9:$9,"&gt;="&amp;BS$9)/DAY(EOMONTH(BS$9,0)))*2*BS113-BR165))))</f>
        <v>765.51627454786535</v>
      </c>
      <c r="BT165" s="33">
        <f>IF(BT$9="",0,IF(OR(BT$9="",DAY(EOMONTH(BT$9,0))=0),0,IF((BT113-((SUMIFS(условия!$202:$202,условия!$8:$8,"&lt;="&amp;BT$9,условия!$9:$9,"&gt;="&amp;BT$9)/DAY(EOMONTH(BT$9,0)))*2*BT113-BS165))&lt;0,BS165+BT113,IF((SUMIFS(условия!$202:$202,условия!$8:$8,"&lt;="&amp;BT$9,условия!$9:$9,"&gt;="&amp;BT$9)/DAY(EOMONTH(BT$9,0)))*2*BT113-BS165&lt;0,0,(SUMIFS(условия!$202:$202,условия!$8:$8,"&lt;="&amp;BT$9,условия!$9:$9,"&gt;="&amp;BT$9)/DAY(EOMONTH(BT$9,0)))*2*BT113-BS165))))</f>
        <v>515.06320889388962</v>
      </c>
      <c r="BU165" s="33">
        <f>IF(BU$9="",0,IF(OR(BU$9="",DAY(EOMONTH(BU$9,0))=0),0,IF((BU113-((SUMIFS(условия!$202:$202,условия!$8:$8,"&lt;="&amp;BU$9,условия!$9:$9,"&gt;="&amp;BU$9)/DAY(EOMONTH(BU$9,0)))*2*BU113-BT165))&lt;0,BT165+BU113,IF((SUMIFS(условия!$202:$202,условия!$8:$8,"&lt;="&amp;BU$9,условия!$9:$9,"&gt;="&amp;BU$9)/DAY(EOMONTH(BU$9,0)))*2*BU113-BT165&lt;0,0,(SUMIFS(условия!$202:$202,условия!$8:$8,"&lt;="&amp;BU$9,условия!$9:$9,"&gt;="&amp;BU$9)/DAY(EOMONTH(BU$9,0)))*2*BU113-BT165))))</f>
        <v>1059.5323323560224</v>
      </c>
      <c r="BV165" s="33">
        <f>IF(BV$9="",0,IF(OR(BV$9="",DAY(EOMONTH(BV$9,0))=0),0,IF((BV113-((SUMIFS(условия!$202:$202,условия!$8:$8,"&lt;="&amp;BV$9,условия!$9:$9,"&gt;="&amp;BV$9)/DAY(EOMONTH(BV$9,0)))*2*BV113-BU165))&lt;0,BU165+BV113,IF((SUMIFS(условия!$202:$202,условия!$8:$8,"&lt;="&amp;BV$9,условия!$9:$9,"&gt;="&amp;BV$9)/DAY(EOMONTH(BV$9,0)))*2*BV113-BU165&lt;0,0,(SUMIFS(условия!$202:$202,условия!$8:$8,"&lt;="&amp;BV$9,условия!$9:$9,"&gt;="&amp;BV$9)/DAY(EOMONTH(BV$9,0)))*2*BV113-BU165))))</f>
        <v>193.96089263908129</v>
      </c>
      <c r="BW165" s="33">
        <f>IF(BW$9="",0,IF(OR(BW$9="",DAY(EOMONTH(BW$9,0))=0),0,IF((BW113-((SUMIFS(условия!$202:$202,условия!$8:$8,"&lt;="&amp;BW$9,условия!$9:$9,"&gt;="&amp;BW$9)/DAY(EOMONTH(BW$9,0)))*2*BW113-BV165))&lt;0,BV165+BW113,IF((SUMIFS(условия!$202:$202,условия!$8:$8,"&lt;="&amp;BW$9,условия!$9:$9,"&gt;="&amp;BW$9)/DAY(EOMONTH(BW$9,0)))*2*BW113-BV165&lt;0,0,(SUMIFS(условия!$202:$202,условия!$8:$8,"&lt;="&amp;BW$9,условия!$9:$9,"&gt;="&amp;BW$9)/DAY(EOMONTH(BW$9,0)))*2*BW113-BV165))))</f>
        <v>1542.821365497369</v>
      </c>
      <c r="BX165" s="33">
        <f>IF(BX$9="",0,IF(OR(BX$9="",DAY(EOMONTH(BX$9,0))=0),0,IF((BX113-((SUMIFS(условия!$202:$202,условия!$8:$8,"&lt;="&amp;BX$9,условия!$9:$9,"&gt;="&amp;BX$9)/DAY(EOMONTH(BX$9,0)))*2*BX113-BW165))&lt;0,BW165+BX113,IF((SUMIFS(условия!$202:$202,условия!$8:$8,"&lt;="&amp;BX$9,условия!$9:$9,"&gt;="&amp;BX$9)/DAY(EOMONTH(BX$9,0)))*2*BX113-BW165&lt;0,0,(SUMIFS(условия!$202:$202,условия!$8:$8,"&lt;="&amp;BX$9,условия!$9:$9,"&gt;="&amp;BX$9)/DAY(EOMONTH(BX$9,0)))*2*BX113-BW165))))</f>
        <v>60.724929245499197</v>
      </c>
      <c r="BY165" s="33">
        <f>IF(BY$9="",0,IF(OR(BY$9="",DAY(EOMONTH(BY$9,0))=0),0,IF((BY113-((SUMIFS(условия!$202:$202,условия!$8:$8,"&lt;="&amp;BY$9,условия!$9:$9,"&gt;="&amp;BY$9)/DAY(EOMONTH(BY$9,0)))*2*BY113-BX165))&lt;0,BX165+BY113,IF((SUMIFS(условия!$202:$202,условия!$8:$8,"&lt;="&amp;BY$9,условия!$9:$9,"&gt;="&amp;BY$9)/DAY(EOMONTH(BY$9,0)))*2*BY113-BX165&lt;0,0,(SUMIFS(условия!$202:$202,условия!$8:$8,"&lt;="&amp;BY$9,условия!$9:$9,"&gt;="&amp;BY$9)/DAY(EOMONTH(BY$9,0)))*2*BY113-BX165))))</f>
        <v>2567.947667987346</v>
      </c>
      <c r="BZ165" s="33">
        <f>IF(BZ$9="",0,IF(OR(BZ$9="",DAY(EOMONTH(BZ$9,0))=0),0,IF((BZ113-((SUMIFS(условия!$202:$202,условия!$8:$8,"&lt;="&amp;BZ$9,условия!$9:$9,"&gt;="&amp;BZ$9)/DAY(EOMONTH(BZ$9,0)))*2*BZ113-BY165))&lt;0,BY165+BZ113,IF((SUMIFS(условия!$202:$202,условия!$8:$8,"&lt;="&amp;BZ$9,условия!$9:$9,"&gt;="&amp;BZ$9)/DAY(EOMONTH(BZ$9,0)))*2*BZ113-BY165&lt;0,0,(SUMIFS(условия!$202:$202,условия!$8:$8,"&lt;="&amp;BZ$9,условия!$9:$9,"&gt;="&amp;BZ$9)/DAY(EOMONTH(BZ$9,0)))*2*BZ113-BY165))))</f>
        <v>0</v>
      </c>
      <c r="CA165" s="33">
        <f>IF(CA$9="",0,IF(OR(CA$9="",DAY(EOMONTH(CA$9,0))=0),0,IF((CA113-((SUMIFS(условия!$202:$202,условия!$8:$8,"&lt;="&amp;CA$9,условия!$9:$9,"&gt;="&amp;CA$9)/DAY(EOMONTH(CA$9,0)))*2*CA113-BZ165))&lt;0,BZ165+CA113,IF((SUMIFS(условия!$202:$202,условия!$8:$8,"&lt;="&amp;CA$9,условия!$9:$9,"&gt;="&amp;CA$9)/DAY(EOMONTH(CA$9,0)))*2*CA113-BZ165&lt;0,0,(SUMIFS(условия!$202:$202,условия!$8:$8,"&lt;="&amp;CA$9,условия!$9:$9,"&gt;="&amp;CA$9)/DAY(EOMONTH(CA$9,0)))*2*CA113-BZ165))))</f>
        <v>2144.7434808848725</v>
      </c>
      <c r="CB165" s="33">
        <f>IF(CB$9="",0,IF(OR(CB$9="",DAY(EOMONTH(CB$9,0))=0),0,IF((CB113-((SUMIFS(условия!$202:$202,условия!$8:$8,"&lt;="&amp;CB$9,условия!$9:$9,"&gt;="&amp;CB$9)/DAY(EOMONTH(CB$9,0)))*2*CB113-CA165))&lt;0,CA165+CB113,IF((SUMIFS(условия!$202:$202,условия!$8:$8,"&lt;="&amp;CB$9,условия!$9:$9,"&gt;="&amp;CB$9)/DAY(EOMONTH(CB$9,0)))*2*CB113-CA165&lt;0,0,(SUMIFS(условия!$202:$202,условия!$8:$8,"&lt;="&amp;CB$9,условия!$9:$9,"&gt;="&amp;CB$9)/DAY(EOMONTH(CB$9,0)))*2*CB113-CA165))))</f>
        <v>0</v>
      </c>
      <c r="CC165" s="33">
        <f>IF(CC$9="",0,IF(OR(CC$9="",DAY(EOMONTH(CC$9,0))=0),0,IF((CC113-((SUMIFS(условия!$202:$202,условия!$8:$8,"&lt;="&amp;CC$9,условия!$9:$9,"&gt;="&amp;CC$9)/DAY(EOMONTH(CC$9,0)))*2*CC113-CB165))&lt;0,CB165+CC113,IF((SUMIFS(условия!$202:$202,условия!$8:$8,"&lt;="&amp;CC$9,условия!$9:$9,"&gt;="&amp;CC$9)/DAY(EOMONTH(CC$9,0)))*2*CC113-CB165&lt;0,0,(SUMIFS(условия!$202:$202,условия!$8:$8,"&lt;="&amp;CC$9,условия!$9:$9,"&gt;="&amp;CC$9)/DAY(EOMONTH(CC$9,0)))*2*CC113-CB165))))</f>
        <v>3088.8137028668698</v>
      </c>
      <c r="CD165" s="33">
        <f>IF(CD$9="",0,IF(OR(CD$9="",DAY(EOMONTH(CD$9,0))=0),0,IF((CD113-((SUMIFS(условия!$202:$202,условия!$8:$8,"&lt;="&amp;CD$9,условия!$9:$9,"&gt;="&amp;CD$9)/DAY(EOMONTH(CD$9,0)))*2*CD113-CC165))&lt;0,CC165+CD113,IF((SUMIFS(условия!$202:$202,условия!$8:$8,"&lt;="&amp;CD$9,условия!$9:$9,"&gt;="&amp;CD$9)/DAY(EOMONTH(CD$9,0)))*2*CD113-CC165&lt;0,0,(SUMIFS(условия!$202:$202,условия!$8:$8,"&lt;="&amp;CD$9,условия!$9:$9,"&gt;="&amp;CD$9)/DAY(EOMONTH(CD$9,0)))*2*CD113-CC165))))</f>
        <v>0</v>
      </c>
      <c r="CE165" s="33">
        <f>IF(CE$9="",0,IF(OR(CE$9="",DAY(EOMONTH(CE$9,0))=0),0,IF((CE113-((SUMIFS(условия!$202:$202,условия!$8:$8,"&lt;="&amp;CE$9,условия!$9:$9,"&gt;="&amp;CE$9)/DAY(EOMONTH(CE$9,0)))*2*CE113-CD165))&lt;0,CD165+CE113,IF((SUMIFS(условия!$202:$202,условия!$8:$8,"&lt;="&amp;CE$9,условия!$9:$9,"&gt;="&amp;CE$9)/DAY(EOMONTH(CE$9,0)))*2*CE113-CD165&lt;0,0,(SUMIFS(условия!$202:$202,условия!$8:$8,"&lt;="&amp;CE$9,условия!$9:$9,"&gt;="&amp;CE$9)/DAY(EOMONTH(CE$9,0)))*2*CE113-CD165))))</f>
        <v>2436.0933666351157</v>
      </c>
      <c r="CF165" s="33">
        <f>IF(CF$9="",0,IF(OR(CF$9="",DAY(EOMONTH(CF$9,0))=0),0,IF((CF113-((SUMIFS(условия!$202:$202,условия!$8:$8,"&lt;="&amp;CF$9,условия!$9:$9,"&gt;="&amp;CF$9)/DAY(EOMONTH(CF$9,0)))*2*CF113-CE165))&lt;0,CE165+CF113,IF((SUMIFS(условия!$202:$202,условия!$8:$8,"&lt;="&amp;CF$9,условия!$9:$9,"&gt;="&amp;CF$9)/DAY(EOMONTH(CF$9,0)))*2*CF113-CE165&lt;0,0,(SUMIFS(условия!$202:$202,условия!$8:$8,"&lt;="&amp;CF$9,условия!$9:$9,"&gt;="&amp;CF$9)/DAY(EOMONTH(CF$9,0)))*2*CF113-CE165))))</f>
        <v>0</v>
      </c>
      <c r="CG165" s="33">
        <f>IF(CG$9="",0,IF(OR(CG$9="",DAY(EOMONTH(CG$9,0))=0),0,IF((CG113-((SUMIFS(условия!$202:$202,условия!$8:$8,"&lt;="&amp;CG$9,условия!$9:$9,"&gt;="&amp;CG$9)/DAY(EOMONTH(CG$9,0)))*2*CG113-CF165))&lt;0,CF165+CG113,IF((SUMIFS(условия!$202:$202,условия!$8:$8,"&lt;="&amp;CG$9,условия!$9:$9,"&gt;="&amp;CG$9)/DAY(EOMONTH(CG$9,0)))*2*CG113-CF165&lt;0,0,(SUMIFS(условия!$202:$202,условия!$8:$8,"&lt;="&amp;CG$9,условия!$9:$9,"&gt;="&amp;CG$9)/DAY(EOMONTH(CG$9,0)))*2*CG113-CF165))))</f>
        <v>2043.7532251925118</v>
      </c>
      <c r="CH165" s="33">
        <f>IF(CH$9="",0,IF(OR(CH$9="",DAY(EOMONTH(CH$9,0))=0),0,IF((CH113-((SUMIFS(условия!$202:$202,условия!$8:$8,"&lt;="&amp;CH$9,условия!$9:$9,"&gt;="&amp;CH$9)/DAY(EOMONTH(CH$9,0)))*2*CH113-CG165))&lt;0,CG165+CH113,IF((SUMIFS(условия!$202:$202,условия!$8:$8,"&lt;="&amp;CH$9,условия!$9:$9,"&gt;="&amp;CH$9)/DAY(EOMONTH(CH$9,0)))*2*CH113-CG165&lt;0,0,(SUMIFS(условия!$202:$202,условия!$8:$8,"&lt;="&amp;CH$9,условия!$9:$9,"&gt;="&amp;CH$9)/DAY(EOMONTH(CH$9,0)))*2*CH113-CG165))))</f>
        <v>0</v>
      </c>
      <c r="CI165" s="33">
        <f>IF(CI$9="",0,IF(OR(CI$9="",DAY(EOMONTH(CI$9,0))=0),0,IF((CI113-((SUMIFS(условия!$202:$202,условия!$8:$8,"&lt;="&amp;CI$9,условия!$9:$9,"&gt;="&amp;CI$9)/DAY(EOMONTH(CI$9,0)))*2*CI113-CH165))&lt;0,CH165+CI113,IF((SUMIFS(условия!$202:$202,условия!$8:$8,"&lt;="&amp;CI$9,условия!$9:$9,"&gt;="&amp;CI$9)/DAY(EOMONTH(CI$9,0)))*2*CI113-CH165&lt;0,0,(SUMIFS(условия!$202:$202,условия!$8:$8,"&lt;="&amp;CI$9,условия!$9:$9,"&gt;="&amp;CI$9)/DAY(EOMONTH(CI$9,0)))*2*CI113-CH165))))</f>
        <v>2311.7950474450959</v>
      </c>
      <c r="CJ165" s="33">
        <f>IF(CJ$9="",0,IF(OR(CJ$9="",DAY(EOMONTH(CJ$9,0))=0),0,IF((CJ113-((SUMIFS(условия!$202:$202,условия!$8:$8,"&lt;="&amp;CJ$9,условия!$9:$9,"&gt;="&amp;CJ$9)/DAY(EOMONTH(CJ$9,0)))*2*CJ113-CI165))&lt;0,CI165+CJ113,IF((SUMIFS(условия!$202:$202,условия!$8:$8,"&lt;="&amp;CJ$9,условия!$9:$9,"&gt;="&amp;CJ$9)/DAY(EOMONTH(CJ$9,0)))*2*CJ113-CI165&lt;0,0,(SUMIFS(условия!$202:$202,условия!$8:$8,"&lt;="&amp;CJ$9,условия!$9:$9,"&gt;="&amp;CJ$9)/DAY(EOMONTH(CJ$9,0)))*2*CJ113-CI165))))</f>
        <v>230.85422943491403</v>
      </c>
      <c r="CK165" s="33">
        <f>IF(CK$9="",0,IF(OR(CK$9="",DAY(EOMONTH(CK$9,0))=0),0,IF((CK113-((SUMIFS(условия!$202:$202,условия!$8:$8,"&lt;="&amp;CK$9,условия!$9:$9,"&gt;="&amp;CK$9)/DAY(EOMONTH(CK$9,0)))*2*CK113-CJ165))&lt;0,CJ165+CK113,IF((SUMIFS(условия!$202:$202,условия!$8:$8,"&lt;="&amp;CK$9,условия!$9:$9,"&gt;="&amp;CK$9)/DAY(EOMONTH(CK$9,0)))*2*CK113-CJ165&lt;0,0,(SUMIFS(условия!$202:$202,условия!$8:$8,"&lt;="&amp;CK$9,условия!$9:$9,"&gt;="&amp;CK$9)/DAY(EOMONTH(CK$9,0)))*2*CK113-CJ165))))</f>
        <v>2525.864601051559</v>
      </c>
      <c r="CL165" s="33">
        <f>IF(CL$9="",0,IF(OR(CL$9="",DAY(EOMONTH(CL$9,0))=0),0,IF((CL113-((SUMIFS(условия!$202:$202,условия!$8:$8,"&lt;="&amp;CL$9,условия!$9:$9,"&gt;="&amp;CL$9)/DAY(EOMONTH(CL$9,0)))*2*CL113-CK165))&lt;0,CK165+CL113,IF((SUMIFS(условия!$202:$202,условия!$8:$8,"&lt;="&amp;CL$9,условия!$9:$9,"&gt;="&amp;CL$9)/DAY(EOMONTH(CL$9,0)))*2*CL113-CK165&lt;0,0,(SUMIFS(условия!$202:$202,условия!$8:$8,"&lt;="&amp;CL$9,условия!$9:$9,"&gt;="&amp;CL$9)/DAY(EOMONTH(CL$9,0)))*2*CL113-CK165))))</f>
        <v>740.12326231693987</v>
      </c>
      <c r="CM165" s="33">
        <f>IF(CM$9="",0,IF(OR(CM$9="",DAY(EOMONTH(CM$9,0))=0),0,IF((CM113-((SUMIFS(условия!$202:$202,условия!$8:$8,"&lt;="&amp;CM$9,условия!$9:$9,"&gt;="&amp;CM$9)/DAY(EOMONTH(CM$9,0)))*2*CM113-CL165))&lt;0,CL165+CM113,IF((SUMIFS(условия!$202:$202,условия!$8:$8,"&lt;="&amp;CM$9,условия!$9:$9,"&gt;="&amp;CM$9)/DAY(EOMONTH(CM$9,0)))*2*CM113-CL165&lt;0,0,(SUMIFS(условия!$202:$202,условия!$8:$8,"&lt;="&amp;CM$9,условия!$9:$9,"&gt;="&amp;CM$9)/DAY(EOMONTH(CM$9,0)))*2*CM113-CL165))))</f>
        <v>1583.4929886147856</v>
      </c>
      <c r="CN165" s="33">
        <f>IF(CN$9="",0,IF(OR(CN$9="",DAY(EOMONTH(CN$9,0))=0),0,IF((CN113-((SUMIFS(условия!$202:$202,условия!$8:$8,"&lt;="&amp;CN$9,условия!$9:$9,"&gt;="&amp;CN$9)/DAY(EOMONTH(CN$9,0)))*2*CN113-CM165))&lt;0,CM165+CN113,IF((SUMIFS(условия!$202:$202,условия!$8:$8,"&lt;="&amp;CN$9,условия!$9:$9,"&gt;="&amp;CN$9)/DAY(EOMONTH(CN$9,0)))*2*CN113-CM165&lt;0,0,(SUMIFS(условия!$202:$202,условия!$8:$8,"&lt;="&amp;CN$9,условия!$9:$9,"&gt;="&amp;CN$9)/DAY(EOMONTH(CN$9,0)))*2*CN113-CM165))))</f>
        <v>576.98430728488256</v>
      </c>
      <c r="CO165" s="33">
        <f>IF(CO$9="",0,IF(OR(CO$9="",DAY(EOMONTH(CO$9,0))=0),0,IF((CO113-((SUMIFS(условия!$202:$202,условия!$8:$8,"&lt;="&amp;CO$9,условия!$9:$9,"&gt;="&amp;CO$9)/DAY(EOMONTH(CO$9,0)))*2*CO113-CN165))&lt;0,CN165+CO113,IF((SUMIFS(условия!$202:$202,условия!$8:$8,"&lt;="&amp;CO$9,условия!$9:$9,"&gt;="&amp;CO$9)/DAY(EOMONTH(CO$9,0)))*2*CO113-CN165&lt;0,0,(SUMIFS(условия!$202:$202,условия!$8:$8,"&lt;="&amp;CO$9,условия!$9:$9,"&gt;="&amp;CO$9)/DAY(EOMONTH(CO$9,0)))*2*CO113-CN165))))</f>
        <v>2334.3088010135557</v>
      </c>
      <c r="CP165" s="33">
        <f>IF(CP$9="",0,IF(OR(CP$9="",DAY(EOMONTH(CP$9,0))=0),0,IF((CP113-((SUMIFS(условия!$202:$202,условия!$8:$8,"&lt;="&amp;CP$9,условия!$9:$9,"&gt;="&amp;CP$9)/DAY(EOMONTH(CP$9,0)))*2*CP113-CO165))&lt;0,CO165+CP113,IF((SUMIFS(условия!$202:$202,условия!$8:$8,"&lt;="&amp;CP$9,условия!$9:$9,"&gt;="&amp;CP$9)/DAY(EOMONTH(CP$9,0)))*2*CP113-CO165&lt;0,0,(SUMIFS(условия!$202:$202,условия!$8:$8,"&lt;="&amp;CP$9,условия!$9:$9,"&gt;="&amp;CP$9)/DAY(EOMONTH(CP$9,0)))*2*CP113-CO165))))</f>
        <v>0</v>
      </c>
      <c r="CQ165" s="33">
        <f>IF(CQ$9="",0,IF(OR(CQ$9="",DAY(EOMONTH(CQ$9,0))=0),0,IF((CQ113-((SUMIFS(условия!$202:$202,условия!$8:$8,"&lt;="&amp;CQ$9,условия!$9:$9,"&gt;="&amp;CQ$9)/DAY(EOMONTH(CQ$9,0)))*2*CQ113-CP165))&lt;0,CP165+CQ113,IF((SUMIFS(условия!$202:$202,условия!$8:$8,"&lt;="&amp;CQ$9,условия!$9:$9,"&gt;="&amp;CQ$9)/DAY(EOMONTH(CQ$9,0)))*2*CQ113-CP165&lt;0,0,(SUMIFS(условия!$202:$202,условия!$8:$8,"&lt;="&amp;CQ$9,условия!$9:$9,"&gt;="&amp;CQ$9)/DAY(EOMONTH(CQ$9,0)))*2*CQ113-CP165))))</f>
        <v>2961.4959520590082</v>
      </c>
      <c r="CR165" s="33">
        <f>IF(CR$9="",0,IF(OR(CR$9="",DAY(EOMONTH(CR$9,0))=0),0,IF((CR113-((SUMIFS(условия!$202:$202,условия!$8:$8,"&lt;="&amp;CR$9,условия!$9:$9,"&gt;="&amp;CR$9)/DAY(EOMONTH(CR$9,0)))*2*CR113-CQ165))&lt;0,CQ165+CR113,IF((SUMIFS(условия!$202:$202,условия!$8:$8,"&lt;="&amp;CR$9,условия!$9:$9,"&gt;="&amp;CR$9)/DAY(EOMONTH(CR$9,0)))*2*CR113-CQ165&lt;0,0,(SUMIFS(условия!$202:$202,условия!$8:$8,"&lt;="&amp;CR$9,условия!$9:$9,"&gt;="&amp;CR$9)/DAY(EOMONTH(CR$9,0)))*2*CR113-CQ165))))</f>
        <v>0</v>
      </c>
      <c r="CS165" s="33">
        <f>IF(CS$9="",0,IF(OR(CS$9="",DAY(EOMONTH(CS$9,0))=0),0,IF((CS113-((SUMIFS(условия!$202:$202,условия!$8:$8,"&lt;="&amp;CS$9,условия!$9:$9,"&gt;="&amp;CS$9)/DAY(EOMONTH(CS$9,0)))*2*CS113-CR165))&lt;0,CR165+CS113,IF((SUMIFS(условия!$202:$202,условия!$8:$8,"&lt;="&amp;CS$9,условия!$9:$9,"&gt;="&amp;CS$9)/DAY(EOMONTH(CS$9,0)))*2*CS113-CR165&lt;0,0,(SUMIFS(условия!$202:$202,условия!$8:$8,"&lt;="&amp;CS$9,условия!$9:$9,"&gt;="&amp;CS$9)/DAY(EOMONTH(CS$9,0)))*2*CS113-CR165))))</f>
        <v>2308.0011636538025</v>
      </c>
      <c r="CT165" s="33">
        <f>IF(CT$9="",0,IF(OR(CT$9="",DAY(EOMONTH(CT$9,0))=0),0,IF((CT113-((SUMIFS(условия!$202:$202,условия!$8:$8,"&lt;="&amp;CT$9,условия!$9:$9,"&gt;="&amp;CT$9)/DAY(EOMONTH(CT$9,0)))*2*CT113-CS165))&lt;0,CS165+CT113,IF((SUMIFS(условия!$202:$202,условия!$8:$8,"&lt;="&amp;CT$9,условия!$9:$9,"&gt;="&amp;CT$9)/DAY(EOMONTH(CT$9,0)))*2*CT113-CS165&lt;0,0,(SUMIFS(условия!$202:$202,условия!$8:$8,"&lt;="&amp;CT$9,условия!$9:$9,"&gt;="&amp;CT$9)/DAY(EOMONTH(CT$9,0)))*2*CT113-CS165))))</f>
        <v>0</v>
      </c>
      <c r="CU165" s="33">
        <f>IF(CU$9="",0,IF(OR(CU$9="",DAY(EOMONTH(CU$9,0))=0),0,IF((CU113-((SUMIFS(условия!$202:$202,условия!$8:$8,"&lt;="&amp;CU$9,условия!$9:$9,"&gt;="&amp;CU$9)/DAY(EOMONTH(CU$9,0)))*2*CU113-CT165))&lt;0,CT165+CU113,IF((SUMIFS(условия!$202:$202,условия!$8:$8,"&lt;="&amp;CU$9,условия!$9:$9,"&gt;="&amp;CU$9)/DAY(EOMONTH(CU$9,0)))*2*CU113-CT165&lt;0,0,(SUMIFS(условия!$202:$202,условия!$8:$8,"&lt;="&amp;CU$9,условия!$9:$9,"&gt;="&amp;CU$9)/DAY(EOMONTH(CU$9,0)))*2*CU113-CT165))))</f>
        <v>2696.9758700715229</v>
      </c>
      <c r="CV165" s="33">
        <f>IF(CV$9="",0,IF(OR(CV$9="",DAY(EOMONTH(CV$9,0))=0),0,IF((CV113-((SUMIFS(условия!$202:$202,условия!$8:$8,"&lt;="&amp;CV$9,условия!$9:$9,"&gt;="&amp;CV$9)/DAY(EOMONTH(CV$9,0)))*2*CV113-CU165))&lt;0,CU165+CV113,IF((SUMIFS(условия!$202:$202,условия!$8:$8,"&lt;="&amp;CV$9,условия!$9:$9,"&gt;="&amp;CV$9)/DAY(EOMONTH(CV$9,0)))*2*CV113-CU165&lt;0,0,(SUMIFS(условия!$202:$202,условия!$8:$8,"&lt;="&amp;CV$9,условия!$9:$9,"&gt;="&amp;CV$9)/DAY(EOMONTH(CV$9,0)))*2*CV113-CU165))))</f>
        <v>0</v>
      </c>
      <c r="CW165" s="33">
        <f>IF(CW$9="",0,IF(OR(CW$9="",DAY(EOMONTH(CW$9,0))=0),0,IF((CW113-((SUMIFS(условия!$202:$202,условия!$8:$8,"&lt;="&amp;CW$9,условия!$9:$9,"&gt;="&amp;CW$9)/DAY(EOMONTH(CW$9,0)))*2*CW113-CV165))&lt;0,CV165+CW113,IF((SUMIFS(условия!$202:$202,условия!$8:$8,"&lt;="&amp;CW$9,условия!$9:$9,"&gt;="&amp;CW$9)/DAY(EOMONTH(CW$9,0)))*2*CW113-CV165&lt;0,0,(SUMIFS(условия!$202:$202,условия!$8:$8,"&lt;="&amp;CW$9,условия!$9:$9,"&gt;="&amp;CW$9)/DAY(EOMONTH(CW$9,0)))*2*CW113-CV165))))</f>
        <v>3575.4232675612311</v>
      </c>
      <c r="CX165" s="33">
        <f>IF(CX$9="",0,IF(OR(CX$9="",DAY(EOMONTH(CX$9,0))=0),0,IF((CX113-((SUMIFS(условия!$202:$202,условия!$8:$8,"&lt;="&amp;CX$9,условия!$9:$9,"&gt;="&amp;CX$9)/DAY(EOMONTH(CX$9,0)))*2*CX113-CW165))&lt;0,CW165+CX113,IF((SUMIFS(условия!$202:$202,условия!$8:$8,"&lt;="&amp;CX$9,условия!$9:$9,"&gt;="&amp;CX$9)/DAY(EOMONTH(CX$9,0)))*2*CX113-CW165&lt;0,0,(SUMIFS(условия!$202:$202,условия!$8:$8,"&lt;="&amp;CX$9,условия!$9:$9,"&gt;="&amp;CX$9)/DAY(EOMONTH(CX$9,0)))*2*CX113-CW165))))</f>
        <v>0</v>
      </c>
      <c r="CY165" s="33">
        <f>IF(CY$9="",0,IF(OR(CY$9="",DAY(EOMONTH(CY$9,0))=0),0,IF((CY113-((SUMIFS(условия!$202:$202,условия!$8:$8,"&lt;="&amp;CY$9,условия!$9:$9,"&gt;="&amp;CY$9)/DAY(EOMONTH(CY$9,0)))*2*CY113-CX165))&lt;0,CX165+CY113,IF((SUMIFS(условия!$202:$202,условия!$8:$8,"&lt;="&amp;CY$9,условия!$9:$9,"&gt;="&amp;CY$9)/DAY(EOMONTH(CY$9,0)))*2*CY113-CX165&lt;0,0,(SUMIFS(условия!$202:$202,условия!$8:$8,"&lt;="&amp;CY$9,условия!$9:$9,"&gt;="&amp;CY$9)/DAY(EOMONTH(CY$9,0)))*2*CY113-CX165))))</f>
        <v>2689.1021757594599</v>
      </c>
      <c r="CZ165" s="33">
        <f>IF(CZ$9="",0,IF(OR(CZ$9="",DAY(EOMONTH(CZ$9,0))=0),0,IF((CZ113-((SUMIFS(условия!$202:$202,условия!$8:$8,"&lt;="&amp;CZ$9,условия!$9:$9,"&gt;="&amp;CZ$9)/DAY(EOMONTH(CZ$9,0)))*2*CZ113-CY165))&lt;0,CY165+CZ113,IF((SUMIFS(условия!$202:$202,условия!$8:$8,"&lt;="&amp;CZ$9,условия!$9:$9,"&gt;="&amp;CZ$9)/DAY(EOMONTH(CZ$9,0)))*2*CZ113-CY165&lt;0,0,(SUMIFS(условия!$202:$202,условия!$8:$8,"&lt;="&amp;CZ$9,условия!$9:$9,"&gt;="&amp;CZ$9)/DAY(EOMONTH(CZ$9,0)))*2*CZ113-CY165))))</f>
        <v>0</v>
      </c>
      <c r="DA165" s="33">
        <f>IF(DA$9="",0,IF(OR(DA$9="",DAY(EOMONTH(DA$9,0))=0),0,IF((DA113-((SUMIFS(условия!$202:$202,условия!$8:$8,"&lt;="&amp;DA$9,условия!$9:$9,"&gt;="&amp;DA$9)/DAY(EOMONTH(DA$9,0)))*2*DA113-CZ165))&lt;0,CZ165+DA113,IF((SUMIFS(условия!$202:$202,условия!$8:$8,"&lt;="&amp;DA$9,условия!$9:$9,"&gt;="&amp;DA$9)/DAY(EOMONTH(DA$9,0)))*2*DA113-CZ165&lt;0,0,(SUMIFS(условия!$202:$202,условия!$8:$8,"&lt;="&amp;DA$9,условия!$9:$9,"&gt;="&amp;DA$9)/DAY(EOMONTH(DA$9,0)))*2*DA113-CZ165))))</f>
        <v>3566.9360740315738</v>
      </c>
      <c r="DB165" s="33">
        <f>IF(DB$9="",0,IF(OR(DB$9="",DAY(EOMONTH(DB$9,0))=0),0,IF((DB113-((SUMIFS(условия!$202:$202,условия!$8:$8,"&lt;="&amp;DB$9,условия!$9:$9,"&gt;="&amp;DB$9)/DAY(EOMONTH(DB$9,0)))*2*DB113-DA165))&lt;0,DA165+DB113,IF((SUMIFS(условия!$202:$202,условия!$8:$8,"&lt;="&amp;DB$9,условия!$9:$9,"&gt;="&amp;DB$9)/DAY(EOMONTH(DB$9,0)))*2*DB113-DA165&lt;0,0,(SUMIFS(условия!$202:$202,условия!$8:$8,"&lt;="&amp;DB$9,условия!$9:$9,"&gt;="&amp;DB$9)/DAY(EOMONTH(DB$9,0)))*2*DB113-DA165))))</f>
        <v>0</v>
      </c>
      <c r="DC165" s="33">
        <f>IF(DC$9="",0,IF(OR(DC$9="",DAY(EOMONTH(DC$9,0))=0),0,IF((DC113-((SUMIFS(условия!$202:$202,условия!$8:$8,"&lt;="&amp;DC$9,условия!$9:$9,"&gt;="&amp;DC$9)/DAY(EOMONTH(DC$9,0)))*2*DC113-DB165))&lt;0,DB165+DC113,IF((SUMIFS(условия!$202:$202,условия!$8:$8,"&lt;="&amp;DC$9,условия!$9:$9,"&gt;="&amp;DC$9)/DAY(EOMONTH(DC$9,0)))*2*DC113-DB165&lt;0,0,(SUMIFS(условия!$202:$202,условия!$8:$8,"&lt;="&amp;DC$9,условия!$9:$9,"&gt;="&amp;DC$9)/DAY(EOMONTH(DC$9,0)))*2*DC113-DB165))))</f>
        <v>3052.3990196071668</v>
      </c>
      <c r="DD165" s="33">
        <f>IF(DD$9="",0,IF(OR(DD$9="",DAY(EOMONTH(DD$9,0))=0),0,IF((DD113-((SUMIFS(условия!$202:$202,условия!$8:$8,"&lt;="&amp;DD$9,условия!$9:$9,"&gt;="&amp;DD$9)/DAY(EOMONTH(DD$9,0)))*2*DD113-DC165))&lt;0,DC165+DD113,IF((SUMIFS(условия!$202:$202,условия!$8:$8,"&lt;="&amp;DD$9,условия!$9:$9,"&gt;="&amp;DD$9)/DAY(EOMONTH(DD$9,0)))*2*DD113-DC165&lt;0,0,(SUMIFS(условия!$202:$202,условия!$8:$8,"&lt;="&amp;DD$9,условия!$9:$9,"&gt;="&amp;DD$9)/DAY(EOMONTH(DD$9,0)))*2*DD113-DC165))))</f>
        <v>0</v>
      </c>
      <c r="DE165" s="33">
        <f>IF(DE$9="",0,IF(OR(DE$9="",DAY(EOMONTH(DE$9,0))=0),0,IF((DE113-((SUMIFS(условия!$202:$202,условия!$8:$8,"&lt;="&amp;DE$9,условия!$9:$9,"&gt;="&amp;DE$9)/DAY(EOMONTH(DE$9,0)))*2*DE113-DD165))&lt;0,DD165+DE113,IF((SUMIFS(условия!$202:$202,условия!$8:$8,"&lt;="&amp;DE$9,условия!$9:$9,"&gt;="&amp;DE$9)/DAY(EOMONTH(DE$9,0)))*2*DE113-DD165&lt;0,0,(SUMIFS(условия!$202:$202,условия!$8:$8,"&lt;="&amp;DE$9,условия!$9:$9,"&gt;="&amp;DE$9)/DAY(EOMONTH(DE$9,0)))*2*DE113-DD165))))</f>
        <v>2320.5698467480324</v>
      </c>
      <c r="DF165" s="33">
        <f>IF(DF$9="",0,IF(OR(DF$9="",DAY(EOMONTH(DF$9,0))=0),0,IF((DF113-((SUMIFS(условия!$202:$202,условия!$8:$8,"&lt;="&amp;DF$9,условия!$9:$9,"&gt;="&amp;DF$9)/DAY(EOMONTH(DF$9,0)))*2*DF113-DE165))&lt;0,DE165+DF113,IF((SUMIFS(условия!$202:$202,условия!$8:$8,"&lt;="&amp;DF$9,условия!$9:$9,"&gt;="&amp;DF$9)/DAY(EOMONTH(DF$9,0)))*2*DF113-DE165&lt;0,0,(SUMIFS(условия!$202:$202,условия!$8:$8,"&lt;="&amp;DF$9,условия!$9:$9,"&gt;="&amp;DF$9)/DAY(EOMONTH(DF$9,0)))*2*DF113-DE165))))</f>
        <v>0</v>
      </c>
      <c r="DG165" s="33">
        <f>IF(DG$9="",0,IF(OR(DG$9="",DAY(EOMONTH(DG$9,0))=0),0,IF((DG113-((SUMIFS(условия!$202:$202,условия!$8:$8,"&lt;="&amp;DG$9,условия!$9:$9,"&gt;="&amp;DG$9)/DAY(EOMONTH(DG$9,0)))*2*DG113-DF165))&lt;0,DF165+DG113,IF((SUMIFS(условия!$202:$202,условия!$8:$8,"&lt;="&amp;DG$9,условия!$9:$9,"&gt;="&amp;DG$9)/DAY(EOMONTH(DG$9,0)))*2*DG113-DF165&lt;0,0,(SUMIFS(условия!$202:$202,условия!$8:$8,"&lt;="&amp;DG$9,условия!$9:$9,"&gt;="&amp;DG$9)/DAY(EOMONTH(DG$9,0)))*2*DG113-DF165))))</f>
        <v>2682.9276321739985</v>
      </c>
      <c r="DH165" s="33">
        <f>IF(DH$9="",0,IF(OR(DH$9="",DAY(EOMONTH(DH$9,0))=0),0,IF((DH113-((SUMIFS(условия!$202:$202,условия!$8:$8,"&lt;="&amp;DH$9,условия!$9:$9,"&gt;="&amp;DH$9)/DAY(EOMONTH(DH$9,0)))*2*DH113-DG165))&lt;0,DG165+DH113,IF((SUMIFS(условия!$202:$202,условия!$8:$8,"&lt;="&amp;DH$9,условия!$9:$9,"&gt;="&amp;DH$9)/DAY(EOMONTH(DH$9,0)))*2*DH113-DG165&lt;0,0,(SUMIFS(условия!$202:$202,условия!$8:$8,"&lt;="&amp;DH$9,условия!$9:$9,"&gt;="&amp;DH$9)/DAY(EOMONTH(DH$9,0)))*2*DH113-DG165))))</f>
        <v>409.6976044497319</v>
      </c>
      <c r="DI165" s="33">
        <f>IF(DI$9="",0,IF(OR(DI$9="",DAY(EOMONTH(DI$9,0))=0),0,IF((DI113-((SUMIFS(условия!$202:$202,условия!$8:$8,"&lt;="&amp;DI$9,условия!$9:$9,"&gt;="&amp;DI$9)/DAY(EOMONTH(DI$9,0)))*2*DI113-DH165))&lt;0,DH165+DI113,IF((SUMIFS(условия!$202:$202,условия!$8:$8,"&lt;="&amp;DI$9,условия!$9:$9,"&gt;="&amp;DI$9)/DAY(EOMONTH(DI$9,0)))*2*DI113-DH165&lt;0,0,(SUMIFS(условия!$202:$202,условия!$8:$8,"&lt;="&amp;DI$9,условия!$9:$9,"&gt;="&amp;DI$9)/DAY(EOMONTH(DI$9,0)))*2*DI113-DH165))))</f>
        <v>2953.9985358500521</v>
      </c>
      <c r="DJ165" s="33">
        <f>IF(DJ$9="",0,IF(OR(DJ$9="",DAY(EOMONTH(DJ$9,0))=0),0,IF((DJ113-((SUMIFS(условия!$202:$202,условия!$8:$8,"&lt;="&amp;DJ$9,условия!$9:$9,"&gt;="&amp;DJ$9)/DAY(EOMONTH(DJ$9,0)))*2*DJ113-DI165))&lt;0,DI165+DJ113,IF((SUMIFS(условия!$202:$202,условия!$8:$8,"&lt;="&amp;DJ$9,условия!$9:$9,"&gt;="&amp;DJ$9)/DAY(EOMONTH(DJ$9,0)))*2*DJ113-DI165&lt;0,0,(SUMIFS(условия!$202:$202,условия!$8:$8,"&lt;="&amp;DJ$9,условия!$9:$9,"&gt;="&amp;DJ$9)/DAY(EOMONTH(DJ$9,0)))*2*DJ113-DI165))))</f>
        <v>1710.1780401778783</v>
      </c>
      <c r="DK165" s="33">
        <f>IF(DK$9="",0,IF(OR(DK$9="",DAY(EOMONTH(DK$9,0))=0),0,IF((DK113-((SUMIFS(условия!$202:$202,условия!$8:$8,"&lt;="&amp;DK$9,условия!$9:$9,"&gt;="&amp;DK$9)/DAY(EOMONTH(DK$9,0)))*2*DK113-DJ165))&lt;0,DJ165+DK113,IF((SUMIFS(условия!$202:$202,условия!$8:$8,"&lt;="&amp;DK$9,условия!$9:$9,"&gt;="&amp;DK$9)/DAY(EOMONTH(DK$9,0)))*2*DK113-DJ165&lt;0,0,(SUMIFS(условия!$202:$202,условия!$8:$8,"&lt;="&amp;DK$9,условия!$9:$9,"&gt;="&amp;DK$9)/DAY(EOMONTH(DK$9,0)))*2*DK113-DJ165))))</f>
        <v>1657.7849629773386</v>
      </c>
      <c r="DL165" s="33">
        <f>IF(DL$9="",0,IF(OR(DL$9="",DAY(EOMONTH(DL$9,0))=0),0,IF((DL113-((SUMIFS(условия!$202:$202,условия!$8:$8,"&lt;="&amp;DL$9,условия!$9:$9,"&gt;="&amp;DL$9)/DAY(EOMONTH(DL$9,0)))*2*DL113-DK165))&lt;0,DK165+DL113,IF((SUMIFS(условия!$202:$202,условия!$8:$8,"&lt;="&amp;DL$9,условия!$9:$9,"&gt;="&amp;DL$9)/DAY(EOMONTH(DL$9,0)))*2*DL113-DK165&lt;0,0,(SUMIFS(условия!$202:$202,условия!$8:$8,"&lt;="&amp;DL$9,условия!$9:$9,"&gt;="&amp;DL$9)/DAY(EOMONTH(DL$9,0)))*2*DL113-DK165))))</f>
        <v>1195.8087194411164</v>
      </c>
      <c r="DM165" s="33">
        <f>IF(DM$9="",0,IF(OR(DM$9="",DAY(EOMONTH(DM$9,0))=0),0,IF((DM113-((SUMIFS(условия!$202:$202,условия!$8:$8,"&lt;="&amp;DM$9,условия!$9:$9,"&gt;="&amp;DM$9)/DAY(EOMONTH(DM$9,0)))*2*DM113-DL165))&lt;0,DL165+DM113,IF((SUMIFS(условия!$202:$202,условия!$8:$8,"&lt;="&amp;DM$9,условия!$9:$9,"&gt;="&amp;DM$9)/DAY(EOMONTH(DM$9,0)))*2*DM113-DL165&lt;0,0,(SUMIFS(условия!$202:$202,условия!$8:$8,"&lt;="&amp;DM$9,условия!$9:$9,"&gt;="&amp;DM$9)/DAY(EOMONTH(DM$9,0)))*2*DM113-DL165))))</f>
        <v>2739.5446777908064</v>
      </c>
      <c r="DN165" s="33">
        <f>IF(DN$9="",0,IF(OR(DN$9="",DAY(EOMONTH(DN$9,0))=0),0,IF((DN113-((SUMIFS(условия!$202:$202,условия!$8:$8,"&lt;="&amp;DN$9,условия!$9:$9,"&gt;="&amp;DN$9)/DAY(EOMONTH(DN$9,0)))*2*DN113-DM165))&lt;0,DM165+DN113,IF((SUMIFS(условия!$202:$202,условия!$8:$8,"&lt;="&amp;DN$9,условия!$9:$9,"&gt;="&amp;DN$9)/DAY(EOMONTH(DN$9,0)))*2*DN113-DM165&lt;0,0,(SUMIFS(условия!$202:$202,условия!$8:$8,"&lt;="&amp;DN$9,условия!$9:$9,"&gt;="&amp;DN$9)/DAY(EOMONTH(DN$9,0)))*2*DN113-DM165))))</f>
        <v>268.51832732770617</v>
      </c>
      <c r="DO165" s="33">
        <f>IF(DO$9="",0,IF(OR(DO$9="",DAY(EOMONTH(DO$9,0))=0),0,IF((DO113-((SUMIFS(условия!$202:$202,условия!$8:$8,"&lt;="&amp;DO$9,условия!$9:$9,"&gt;="&amp;DO$9)/DAY(EOMONTH(DO$9,0)))*2*DO113-DN165))&lt;0,DN165+DO113,IF((SUMIFS(условия!$202:$202,условия!$8:$8,"&lt;="&amp;DO$9,условия!$9:$9,"&gt;="&amp;DO$9)/DAY(EOMONTH(DO$9,0)))*2*DO113-DN165&lt;0,0,(SUMIFS(условия!$202:$202,условия!$8:$8,"&lt;="&amp;DO$9,условия!$9:$9,"&gt;="&amp;DO$9)/DAY(EOMONTH(DO$9,0)))*2*DO113-DN165))))</f>
        <v>3638.0135423803549</v>
      </c>
      <c r="DP165" s="33">
        <f>IF(DP$9="",0,IF(OR(DP$9="",DAY(EOMONTH(DP$9,0))=0),0,IF((DP113-((SUMIFS(условия!$202:$202,условия!$8:$8,"&lt;="&amp;DP$9,условия!$9:$9,"&gt;="&amp;DP$9)/DAY(EOMONTH(DP$9,0)))*2*DP113-DO165))&lt;0,DO165+DP113,IF((SUMIFS(условия!$202:$202,условия!$8:$8,"&lt;="&amp;DP$9,условия!$9:$9,"&gt;="&amp;DP$9)/DAY(EOMONTH(DP$9,0)))*2*DP113-DO165&lt;0,0,(SUMIFS(условия!$202:$202,условия!$8:$8,"&lt;="&amp;DP$9,условия!$9:$9,"&gt;="&amp;DP$9)/DAY(EOMONTH(DP$9,0)))*2*DP113-DO165))))</f>
        <v>0</v>
      </c>
      <c r="DQ165" s="33">
        <f>IF(DQ$9="",0,IF(OR(DQ$9="",DAY(EOMONTH(DQ$9,0))=0),0,IF((DQ113-((SUMIFS(условия!$202:$202,условия!$8:$8,"&lt;="&amp;DQ$9,условия!$9:$9,"&gt;="&amp;DQ$9)/DAY(EOMONTH(DQ$9,0)))*2*DQ113-DP165))&lt;0,DP165+DQ113,IF((SUMIFS(условия!$202:$202,условия!$8:$8,"&lt;="&amp;DQ$9,условия!$9:$9,"&gt;="&amp;DQ$9)/DAY(EOMONTH(DQ$9,0)))*2*DQ113-DP165&lt;0,0,(SUMIFS(условия!$202:$202,условия!$8:$8,"&lt;="&amp;DQ$9,условия!$9:$9,"&gt;="&amp;DQ$9)/DAY(EOMONTH(DQ$9,0)))*2*DQ113-DP165))))</f>
        <v>3124.1743540554235</v>
      </c>
      <c r="DR165" s="33">
        <f>IF(DR$9="",0,IF(OR(DR$9="",DAY(EOMONTH(DR$9,0))=0),0,IF((DR113-((SUMIFS(условия!$202:$202,условия!$8:$8,"&lt;="&amp;DR$9,условия!$9:$9,"&gt;="&amp;DR$9)/DAY(EOMONTH(DR$9,0)))*2*DR113-DQ165))&lt;0,DQ165+DR113,IF((SUMIFS(условия!$202:$202,условия!$8:$8,"&lt;="&amp;DR$9,условия!$9:$9,"&gt;="&amp;DR$9)/DAY(EOMONTH(DR$9,0)))*2*DR113-DQ165&lt;0,0,(SUMIFS(условия!$202:$202,условия!$8:$8,"&lt;="&amp;DR$9,условия!$9:$9,"&gt;="&amp;DR$9)/DAY(EOMONTH(DR$9,0)))*2*DR113-DQ165))))</f>
        <v>0</v>
      </c>
      <c r="DS165" s="33">
        <f>IF(DS$9="",0,IF(OR(DS$9="",DAY(EOMONTH(DS$9,0))=0),0,IF((DS113-((SUMIFS(условия!$202:$202,условия!$8:$8,"&lt;="&amp;DS$9,условия!$9:$9,"&gt;="&amp;DS$9)/DAY(EOMONTH(DS$9,0)))*2*DS113-DR165))&lt;0,DR165+DS113,IF((SUMIFS(условия!$202:$202,условия!$8:$8,"&lt;="&amp;DS$9,условия!$9:$9,"&gt;="&amp;DS$9)/DAY(EOMONTH(DS$9,0)))*2*DS113-DR165&lt;0,0,(SUMIFS(условия!$202:$202,условия!$8:$8,"&lt;="&amp;DS$9,условия!$9:$9,"&gt;="&amp;DS$9)/DAY(EOMONTH(DS$9,0)))*2*DS113-DR165))))</f>
        <v>3664.5438376291249</v>
      </c>
      <c r="DT165" s="33">
        <f>IF(DT$9="",0,IF(OR(DT$9="",DAY(EOMONTH(DT$9,0))=0),0,IF((DT113-((SUMIFS(условия!$202:$202,условия!$8:$8,"&lt;="&amp;DT$9,условия!$9:$9,"&gt;="&amp;DT$9)/DAY(EOMONTH(DT$9,0)))*2*DT113-DS165))&lt;0,DS165+DT113,IF((SUMIFS(условия!$202:$202,условия!$8:$8,"&lt;="&amp;DT$9,условия!$9:$9,"&gt;="&amp;DT$9)/DAY(EOMONTH(DT$9,0)))*2*DT113-DS165&lt;0,0,(SUMIFS(условия!$202:$202,условия!$8:$8,"&lt;="&amp;DT$9,условия!$9:$9,"&gt;="&amp;DT$9)/DAY(EOMONTH(DT$9,0)))*2*DT113-DS165))))</f>
        <v>0</v>
      </c>
      <c r="DU165" s="33">
        <f>IF(DU$9="",0,IF(OR(DU$9="",DAY(EOMONTH(DU$9,0))=0),0,IF((DU113-((SUMIFS(условия!$202:$202,условия!$8:$8,"&lt;="&amp;DU$9,условия!$9:$9,"&gt;="&amp;DU$9)/DAY(EOMONTH(DU$9,0)))*2*DU113-DT165))&lt;0,DT165+DU113,IF((SUMIFS(условия!$202:$202,условия!$8:$8,"&lt;="&amp;DU$9,условия!$9:$9,"&gt;="&amp;DU$9)/DAY(EOMONTH(DU$9,0)))*2*DU113-DT165&lt;0,0,(SUMIFS(условия!$202:$202,условия!$8:$8,"&lt;="&amp;DU$9,условия!$9:$9,"&gt;="&amp;DU$9)/DAY(EOMONTH(DU$9,0)))*2*DU113-DT165))))</f>
        <v>4575.1273074830988</v>
      </c>
      <c r="DV165" s="33">
        <f>IF(DV$9="",0,IF(OR(DV$9="",DAY(EOMONTH(DV$9,0))=0),0,IF((DV113-((SUMIFS(условия!$202:$202,условия!$8:$8,"&lt;="&amp;DV$9,условия!$9:$9,"&gt;="&amp;DV$9)/DAY(EOMONTH(DV$9,0)))*2*DV113-DU165))&lt;0,DU165+DV113,IF((SUMIFS(условия!$202:$202,условия!$8:$8,"&lt;="&amp;DV$9,условия!$9:$9,"&gt;="&amp;DV$9)/DAY(EOMONTH(DV$9,0)))*2*DV113-DU165&lt;0,0,(SUMIFS(условия!$202:$202,условия!$8:$8,"&lt;="&amp;DV$9,условия!$9:$9,"&gt;="&amp;DV$9)/DAY(EOMONTH(DV$9,0)))*2*DV113-DU165))))</f>
        <v>0</v>
      </c>
      <c r="DW165" s="33">
        <f>IF(DW$9="",0,IF(OR(DW$9="",DAY(EOMONTH(DW$9,0))=0),0,IF((DW113-((SUMIFS(условия!$202:$202,условия!$8:$8,"&lt;="&amp;DW$9,условия!$9:$9,"&gt;="&amp;DW$9)/DAY(EOMONTH(DW$9,0)))*2*DW113-DV165))&lt;0,DV165+DW113,IF((SUMIFS(условия!$202:$202,условия!$8:$8,"&lt;="&amp;DW$9,условия!$9:$9,"&gt;="&amp;DW$9)/DAY(EOMONTH(DW$9,0)))*2*DW113-DV165&lt;0,0,(SUMIFS(условия!$202:$202,условия!$8:$8,"&lt;="&amp;DW$9,условия!$9:$9,"&gt;="&amp;DW$9)/DAY(EOMONTH(DW$9,0)))*2*DW113-DV165))))</f>
        <v>3925.9006327610605</v>
      </c>
      <c r="DX165" s="33">
        <f>IF(DX$9="",0,IF(OR(DX$9="",DAY(EOMONTH(DX$9,0))=0),0,IF((DX113-((SUMIFS(условия!$202:$202,условия!$8:$8,"&lt;="&amp;DX$9,условия!$9:$9,"&gt;="&amp;DX$9)/DAY(EOMONTH(DX$9,0)))*2*DX113-DW165))&lt;0,DW165+DX113,IF((SUMIFS(условия!$202:$202,условия!$8:$8,"&lt;="&amp;DX$9,условия!$9:$9,"&gt;="&amp;DX$9)/DAY(EOMONTH(DX$9,0)))*2*DX113-DW165&lt;0,0,(SUMIFS(условия!$202:$202,условия!$8:$8,"&lt;="&amp;DX$9,условия!$9:$9,"&gt;="&amp;DX$9)/DAY(EOMONTH(DX$9,0)))*2*DX113-DW165))))</f>
        <v>0</v>
      </c>
      <c r="DY165" s="33">
        <f>IF(DY$9="",0,IF(OR(DY$9="",DAY(EOMONTH(DY$9,0))=0),0,IF((DY113-((SUMIFS(условия!$202:$202,условия!$8:$8,"&lt;="&amp;DY$9,условия!$9:$9,"&gt;="&amp;DY$9)/DAY(EOMONTH(DY$9,0)))*2*DY113-DX165))&lt;0,DX165+DY113,IF((SUMIFS(условия!$202:$202,условия!$8:$8,"&lt;="&amp;DY$9,условия!$9:$9,"&gt;="&amp;DY$9)/DAY(EOMONTH(DY$9,0)))*2*DY113-DX165&lt;0,0,(SUMIFS(условия!$202:$202,условия!$8:$8,"&lt;="&amp;DY$9,условия!$9:$9,"&gt;="&amp;DY$9)/DAY(EOMONTH(DY$9,0)))*2*DY113-DX165))))</f>
        <v>4502.0586224377957</v>
      </c>
      <c r="DZ165" s="33">
        <f>IF(DZ$9="",0,IF(OR(DZ$9="",DAY(EOMONTH(DZ$9,0))=0),0,IF((DZ113-((SUMIFS(условия!$202:$202,условия!$8:$8,"&lt;="&amp;DZ$9,условия!$9:$9,"&gt;="&amp;DZ$9)/DAY(EOMONTH(DZ$9,0)))*2*DZ113-DY165))&lt;0,DY165+DZ113,IF((SUMIFS(условия!$202:$202,условия!$8:$8,"&lt;="&amp;DZ$9,условия!$9:$9,"&gt;="&amp;DZ$9)/DAY(EOMONTH(DZ$9,0)))*2*DZ113-DY165&lt;0,0,(SUMIFS(условия!$202:$202,условия!$8:$8,"&lt;="&amp;DZ$9,условия!$9:$9,"&gt;="&amp;DZ$9)/DAY(EOMONTH(DZ$9,0)))*2*DZ113-DY165))))</f>
        <v>0</v>
      </c>
      <c r="EA165" s="33">
        <f>IF(EA$9="",0,IF(OR(EA$9="",DAY(EOMONTH(EA$9,0))=0),0,IF((EA113-((SUMIFS(условия!$202:$202,условия!$8:$8,"&lt;="&amp;EA$9,условия!$9:$9,"&gt;="&amp;EA$9)/DAY(EOMONTH(EA$9,0)))*2*EA113-DZ165))&lt;0,DZ165+EA113,IF((SUMIFS(условия!$202:$202,условия!$8:$8,"&lt;="&amp;EA$9,условия!$9:$9,"&gt;="&amp;EA$9)/DAY(EOMONTH(EA$9,0)))*2*EA113-DZ165&lt;0,0,(SUMIFS(условия!$202:$202,условия!$8:$8,"&lt;="&amp;EA$9,условия!$9:$9,"&gt;="&amp;EA$9)/DAY(EOMONTH(EA$9,0)))*2*EA113-DZ165))))</f>
        <v>3876.3209152481836</v>
      </c>
      <c r="EB165" s="33">
        <f>IF(EB$9="",0,IF(OR(EB$9="",DAY(EOMONTH(EB$9,0))=0),0,IF((EB113-((SUMIFS(условия!$202:$202,условия!$8:$8,"&lt;="&amp;EB$9,условия!$9:$9,"&gt;="&amp;EB$9)/DAY(EOMONTH(EB$9,0)))*2*EB113-EA165))&lt;0,EA165+EB113,IF((SUMIFS(условия!$202:$202,условия!$8:$8,"&lt;="&amp;EB$9,условия!$9:$9,"&gt;="&amp;EB$9)/DAY(EOMONTH(EB$9,0)))*2*EB113-EA165&lt;0,0,(SUMIFS(условия!$202:$202,условия!$8:$8,"&lt;="&amp;EB$9,условия!$9:$9,"&gt;="&amp;EB$9)/DAY(EOMONTH(EB$9,0)))*2*EB113-EA165))))</f>
        <v>0</v>
      </c>
      <c r="EC165" s="33">
        <f>IF(EC$9="",0,IF(OR(EC$9="",DAY(EOMONTH(EC$9,0))=0),0,IF((EC113-((SUMIFS(условия!$202:$202,условия!$8:$8,"&lt;="&amp;EC$9,условия!$9:$9,"&gt;="&amp;EC$9)/DAY(EOMONTH(EC$9,0)))*2*EC113-EB165))&lt;0,EB165+EC113,IF((SUMIFS(условия!$202:$202,условия!$8:$8,"&lt;="&amp;EC$9,условия!$9:$9,"&gt;="&amp;EC$9)/DAY(EOMONTH(EC$9,0)))*2*EC113-EB165&lt;0,0,(SUMIFS(условия!$202:$202,условия!$8:$8,"&lt;="&amp;EC$9,условия!$9:$9,"&gt;="&amp;EC$9)/DAY(EOMONTH(EC$9,0)))*2*EC113-EB165))))</f>
        <v>2938.1038127172114</v>
      </c>
      <c r="ED165" s="33">
        <f>IF(ED$9="",0,IF(OR(ED$9="",DAY(EOMONTH(ED$9,0))=0),0,IF((ED113-((SUMIFS(условия!$202:$202,условия!$8:$8,"&lt;="&amp;ED$9,условия!$9:$9,"&gt;="&amp;ED$9)/DAY(EOMONTH(ED$9,0)))*2*ED113-EC165))&lt;0,EC165+ED113,IF((SUMIFS(условия!$202:$202,условия!$8:$8,"&lt;="&amp;ED$9,условия!$9:$9,"&gt;="&amp;ED$9)/DAY(EOMONTH(ED$9,0)))*2*ED113-EC165&lt;0,0,(SUMIFS(условия!$202:$202,условия!$8:$8,"&lt;="&amp;ED$9,условия!$9:$9,"&gt;="&amp;ED$9)/DAY(EOMONTH(ED$9,0)))*2*ED113-EC165))))</f>
        <v>0</v>
      </c>
      <c r="EE165" s="33">
        <f>IF(EE$9="",0,IF(OR(EE$9="",DAY(EOMONTH(EE$9,0))=0),0,IF((EE113-((SUMIFS(условия!$202:$202,условия!$8:$8,"&lt;="&amp;EE$9,условия!$9:$9,"&gt;="&amp;EE$9)/DAY(EOMONTH(EE$9,0)))*2*EE113-ED165))&lt;0,ED165+EE113,IF((SUMIFS(условия!$202:$202,условия!$8:$8,"&lt;="&amp;EE$9,условия!$9:$9,"&gt;="&amp;EE$9)/DAY(EOMONTH(EE$9,0)))*2*EE113-ED165&lt;0,0,(SUMIFS(условия!$202:$202,условия!$8:$8,"&lt;="&amp;EE$9,условия!$9:$9,"&gt;="&amp;EE$9)/DAY(EOMONTH(EE$9,0)))*2*EE113-ED165))))</f>
        <v>3318.9723990451726</v>
      </c>
      <c r="EF165" s="33">
        <f>IF(EF$9="",0,IF(OR(EF$9="",DAY(EOMONTH(EF$9,0))=0),0,IF((EF113-((SUMIFS(условия!$202:$202,условия!$8:$8,"&lt;="&amp;EF$9,условия!$9:$9,"&gt;="&amp;EF$9)/DAY(EOMONTH(EF$9,0)))*2*EF113-EE165))&lt;0,EE165+EF113,IF((SUMIFS(условия!$202:$202,условия!$8:$8,"&lt;="&amp;EF$9,условия!$9:$9,"&gt;="&amp;EF$9)/DAY(EOMONTH(EF$9,0)))*2*EF113-EE165&lt;0,0,(SUMIFS(условия!$202:$202,условия!$8:$8,"&lt;="&amp;EF$9,условия!$9:$9,"&gt;="&amp;EF$9)/DAY(EOMONTH(EF$9,0)))*2*EF113-EE165))))</f>
        <v>634.87028063815387</v>
      </c>
      <c r="EG165" s="33">
        <f>IF(EG$9="",0,IF(OR(EG$9="",DAY(EOMONTH(EG$9,0))=0),0,IF((EG113-((SUMIFS(условия!$202:$202,условия!$8:$8,"&lt;="&amp;EG$9,условия!$9:$9,"&gt;="&amp;EG$9)/DAY(EOMONTH(EG$9,0)))*2*EG113-EF165))&lt;0,EF165+EG113,IF((SUMIFS(условия!$202:$202,условия!$8:$8,"&lt;="&amp;EG$9,условия!$9:$9,"&gt;="&amp;EG$9)/DAY(EOMONTH(EG$9,0)))*2*EG113-EF165&lt;0,0,(SUMIFS(условия!$202:$202,условия!$8:$8,"&lt;="&amp;EG$9,условия!$9:$9,"&gt;="&amp;EG$9)/DAY(EOMONTH(EG$9,0)))*2*EG113-EF165))))</f>
        <v>3350.197615767755</v>
      </c>
      <c r="EH165" s="33">
        <f>IF(EH$9="",0,IF(OR(EH$9="",DAY(EOMONTH(EH$9,0))=0),0,IF((EH113-((SUMIFS(условия!$202:$202,условия!$8:$8,"&lt;="&amp;EH$9,условия!$9:$9,"&gt;="&amp;EH$9)/DAY(EOMONTH(EH$9,0)))*2*EH113-EG165))&lt;0,EG165+EH113,IF((SUMIFS(условия!$202:$202,условия!$8:$8,"&lt;="&amp;EH$9,условия!$9:$9,"&gt;="&amp;EH$9)/DAY(EOMONTH(EH$9,0)))*2*EH113-EG165&lt;0,0,(SUMIFS(условия!$202:$202,условия!$8:$8,"&lt;="&amp;EH$9,условия!$9:$9,"&gt;="&amp;EH$9)/DAY(EOMONTH(EH$9,0)))*2*EH113-EG165))))</f>
        <v>1885.2322221219752</v>
      </c>
      <c r="EI165" s="33">
        <f>IF(EI$9="",0,IF(OR(EI$9="",DAY(EOMONTH(EI$9,0))=0),0,IF((EI113-((SUMIFS(условия!$202:$202,условия!$8:$8,"&lt;="&amp;EI$9,условия!$9:$9,"&gt;="&amp;EI$9)/DAY(EOMONTH(EI$9,0)))*2*EI113-EH165))&lt;0,EH165+EI113,IF((SUMIFS(условия!$202:$202,условия!$8:$8,"&lt;="&amp;EI$9,условия!$9:$9,"&gt;="&amp;EI$9)/DAY(EOMONTH(EI$9,0)))*2*EI113-EH165&lt;0,0,(SUMIFS(условия!$202:$202,условия!$8:$8,"&lt;="&amp;EI$9,условия!$9:$9,"&gt;="&amp;EI$9)/DAY(EOMONTH(EI$9,0)))*2*EI113-EH165))))</f>
        <v>1648.8453374029468</v>
      </c>
      <c r="EJ165" s="3"/>
      <c r="EK165" s="3"/>
    </row>
    <row r="166" spans="1:14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2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</row>
    <row r="167" spans="1:141" x14ac:dyDescent="0.25">
      <c r="A167" s="3"/>
      <c r="B167" s="3"/>
      <c r="C167" s="3"/>
      <c r="D167" s="3"/>
      <c r="E167" s="3"/>
      <c r="F167" s="10" t="str">
        <f>KPI!$F$171</f>
        <v>Выплата ФОТ персоналу</v>
      </c>
      <c r="G167" s="3"/>
      <c r="H167" s="3"/>
      <c r="I167" s="3"/>
      <c r="J167" s="5" t="str">
        <f>IF($F167="","",INDEX(KPI!$I$11:$I$275,SUMIFS(KPI!$E$11:$E$275,KPI!$F$11:$F$275,$F167)))</f>
        <v>тыс.руб.</v>
      </c>
      <c r="K167" s="3"/>
      <c r="L167" s="3"/>
      <c r="M167" s="3"/>
      <c r="N167" s="3"/>
      <c r="O167" s="3"/>
      <c r="P167" s="3"/>
      <c r="Q167" s="12">
        <f>SUM(S167:EJ167)</f>
        <v>744688.67297647113</v>
      </c>
      <c r="R167" s="3"/>
      <c r="S167" s="55"/>
      <c r="T167" s="33">
        <f>S165+T113-T165</f>
        <v>433.54838709677421</v>
      </c>
      <c r="U167" s="33">
        <f t="shared" ref="U167:CF167" si="69">T165+U113-U165</f>
        <v>824.33179723502303</v>
      </c>
      <c r="V167" s="33">
        <f t="shared" si="69"/>
        <v>477.78801843317979</v>
      </c>
      <c r="W167" s="33">
        <f t="shared" si="69"/>
        <v>795.33026113671269</v>
      </c>
      <c r="X167" s="33">
        <f t="shared" si="69"/>
        <v>1267.811214685963</v>
      </c>
      <c r="Y167" s="33">
        <f t="shared" si="69"/>
        <v>2233.4026920789438</v>
      </c>
      <c r="Z167" s="33">
        <f t="shared" si="69"/>
        <v>1204.3150234430823</v>
      </c>
      <c r="AA167" s="33">
        <f t="shared" si="69"/>
        <v>2231.2812673507333</v>
      </c>
      <c r="AB167" s="33">
        <f t="shared" si="69"/>
        <v>1212.7649090984019</v>
      </c>
      <c r="AC167" s="33">
        <f t="shared" si="69"/>
        <v>2286.9134265995644</v>
      </c>
      <c r="AD167" s="33">
        <f t="shared" si="69"/>
        <v>1219.9208266604012</v>
      </c>
      <c r="AE167" s="33">
        <f t="shared" si="69"/>
        <v>2310.9205260979743</v>
      </c>
      <c r="AF167" s="33">
        <f t="shared" si="69"/>
        <v>1969.7982423116875</v>
      </c>
      <c r="AG167" s="33">
        <f t="shared" si="69"/>
        <v>3658.6927485055089</v>
      </c>
      <c r="AH167" s="33">
        <f t="shared" si="69"/>
        <v>2023.8459806085214</v>
      </c>
      <c r="AI167" s="33">
        <f t="shared" si="69"/>
        <v>3581.257673841737</v>
      </c>
      <c r="AJ167" s="33">
        <f t="shared" si="69"/>
        <v>2016.2020300603833</v>
      </c>
      <c r="AK167" s="33">
        <f t="shared" si="69"/>
        <v>3511.1081652604548</v>
      </c>
      <c r="AL167" s="33">
        <f t="shared" si="69"/>
        <v>2080.0499047945887</v>
      </c>
      <c r="AM167" s="33">
        <f t="shared" si="69"/>
        <v>3512.6389952708096</v>
      </c>
      <c r="AN167" s="33">
        <f t="shared" si="69"/>
        <v>2176.8833004970656</v>
      </c>
      <c r="AO167" s="33">
        <f t="shared" si="69"/>
        <v>3645.7263265713382</v>
      </c>
      <c r="AP167" s="33">
        <f t="shared" si="69"/>
        <v>2220.296545096724</v>
      </c>
      <c r="AQ167" s="33">
        <f t="shared" si="69"/>
        <v>3772.713028120219</v>
      </c>
      <c r="AR167" s="33">
        <f t="shared" si="69"/>
        <v>2244.2529653287884</v>
      </c>
      <c r="AS167" s="33">
        <f t="shared" si="69"/>
        <v>4148.6411881312579</v>
      </c>
      <c r="AT167" s="33">
        <f t="shared" si="69"/>
        <v>2410.1444094662429</v>
      </c>
      <c r="AU167" s="33">
        <f t="shared" si="69"/>
        <v>4218.4836089719229</v>
      </c>
      <c r="AV167" s="33">
        <f t="shared" si="69"/>
        <v>2114.2195190279654</v>
      </c>
      <c r="AW167" s="33">
        <f t="shared" si="69"/>
        <v>4065.3238277902105</v>
      </c>
      <c r="AX167" s="33">
        <f t="shared" si="69"/>
        <v>2192.9511799024071</v>
      </c>
      <c r="AY167" s="33">
        <f t="shared" si="69"/>
        <v>4191.2571060358841</v>
      </c>
      <c r="AZ167" s="33">
        <f t="shared" si="69"/>
        <v>2486.5602433224658</v>
      </c>
      <c r="BA167" s="33">
        <f t="shared" si="69"/>
        <v>4469.9205302142163</v>
      </c>
      <c r="BB167" s="33">
        <f t="shared" si="69"/>
        <v>2736.532229791098</v>
      </c>
      <c r="BC167" s="33">
        <f t="shared" si="69"/>
        <v>4525.6655516614401</v>
      </c>
      <c r="BD167" s="33">
        <f t="shared" si="69"/>
        <v>2620.0120740422062</v>
      </c>
      <c r="BE167" s="33">
        <f t="shared" si="69"/>
        <v>4971.7811509506237</v>
      </c>
      <c r="BF167" s="33">
        <f t="shared" si="69"/>
        <v>2993.2668568578392</v>
      </c>
      <c r="BG167" s="33">
        <f t="shared" si="69"/>
        <v>5162.4405650013241</v>
      </c>
      <c r="BH167" s="33">
        <f t="shared" si="69"/>
        <v>2454.8180909990488</v>
      </c>
      <c r="BI167" s="33">
        <f t="shared" si="69"/>
        <v>4864.9929868162908</v>
      </c>
      <c r="BJ167" s="33">
        <f t="shared" si="69"/>
        <v>2621.0417509486879</v>
      </c>
      <c r="BK167" s="33">
        <f t="shared" si="69"/>
        <v>4974.2385933210189</v>
      </c>
      <c r="BL167" s="33">
        <f t="shared" si="69"/>
        <v>3342.4531172691127</v>
      </c>
      <c r="BM167" s="33">
        <f t="shared" si="69"/>
        <v>5377.1178521444635</v>
      </c>
      <c r="BN167" s="33">
        <f t="shared" si="69"/>
        <v>4165.2940462618371</v>
      </c>
      <c r="BO167" s="33">
        <f t="shared" si="69"/>
        <v>5128.9310244952303</v>
      </c>
      <c r="BP167" s="33">
        <f t="shared" si="69"/>
        <v>3198.6030998137667</v>
      </c>
      <c r="BQ167" s="33">
        <f t="shared" si="69"/>
        <v>6081.8459848380426</v>
      </c>
      <c r="BR167" s="33">
        <f t="shared" si="69"/>
        <v>4191.6967682563682</v>
      </c>
      <c r="BS167" s="33">
        <f t="shared" si="69"/>
        <v>5283.9905572970774</v>
      </c>
      <c r="BT167" s="33">
        <f t="shared" si="69"/>
        <v>4220.2494643234168</v>
      </c>
      <c r="BU167" s="33">
        <f t="shared" si="69"/>
        <v>4179.3175002876033</v>
      </c>
      <c r="BV167" s="33">
        <f t="shared" si="69"/>
        <v>4751.4004372017625</v>
      </c>
      <c r="BW167" s="33">
        <f t="shared" si="69"/>
        <v>4035.1645273647082</v>
      </c>
      <c r="BX167" s="33">
        <f t="shared" si="69"/>
        <v>6292.7353204804749</v>
      </c>
      <c r="BY167" s="33">
        <f t="shared" si="69"/>
        <v>5641.6623126799732</v>
      </c>
      <c r="BZ167" s="33">
        <f t="shared" si="69"/>
        <v>9880.9314648513682</v>
      </c>
      <c r="CA167" s="33">
        <f t="shared" si="69"/>
        <v>4503.9613098582322</v>
      </c>
      <c r="CB167" s="33">
        <f t="shared" si="69"/>
        <v>8097.4030778212727</v>
      </c>
      <c r="CC167" s="33">
        <f t="shared" si="69"/>
        <v>5559.8646651603649</v>
      </c>
      <c r="CD167" s="33">
        <f t="shared" si="69"/>
        <v>9270.8626582263933</v>
      </c>
      <c r="CE167" s="33">
        <f t="shared" si="69"/>
        <v>4872.1867332702313</v>
      </c>
      <c r="CF167" s="33">
        <f t="shared" si="69"/>
        <v>8128.1079624367176</v>
      </c>
      <c r="CG167" s="33">
        <f t="shared" ref="CG167:EI167" si="70">CF165+CG113-CG165</f>
        <v>4087.506450385024</v>
      </c>
      <c r="CH167" s="33">
        <f t="shared" si="70"/>
        <v>7974.1857833896356</v>
      </c>
      <c r="CI167" s="33">
        <f t="shared" si="70"/>
        <v>4854.7695996347011</v>
      </c>
      <c r="CJ167" s="33">
        <f t="shared" si="70"/>
        <v>9708.8886486502124</v>
      </c>
      <c r="CK167" s="33">
        <f t="shared" si="70"/>
        <v>6250.8180028914212</v>
      </c>
      <c r="CL167" s="33">
        <f t="shared" si="70"/>
        <v>11583.704928840116</v>
      </c>
      <c r="CM167" s="33">
        <f t="shared" si="70"/>
        <v>6359.8406515905035</v>
      </c>
      <c r="CN167" s="33">
        <f t="shared" si="70"/>
        <v>7703.9882986188741</v>
      </c>
      <c r="CO167" s="33">
        <f t="shared" si="70"/>
        <v>6394.2962095069543</v>
      </c>
      <c r="CP167" s="33">
        <f t="shared" si="70"/>
        <v>9336.9311109725422</v>
      </c>
      <c r="CQ167" s="33">
        <f t="shared" si="70"/>
        <v>5922.9919041180174</v>
      </c>
      <c r="CR167" s="33">
        <f t="shared" si="70"/>
        <v>9035.4728020544644</v>
      </c>
      <c r="CS167" s="33">
        <f t="shared" si="70"/>
        <v>4616.0023273076058</v>
      </c>
      <c r="CT167" s="33">
        <f t="shared" si="70"/>
        <v>8401.917399369695</v>
      </c>
      <c r="CU167" s="33">
        <f t="shared" si="70"/>
        <v>5663.6493271501986</v>
      </c>
      <c r="CV167" s="33">
        <f t="shared" si="70"/>
        <v>10462.124162958164</v>
      </c>
      <c r="CW167" s="33">
        <f t="shared" si="70"/>
        <v>7508.3888618785859</v>
      </c>
      <c r="CX167" s="33">
        <f t="shared" si="70"/>
        <v>13371.93439970631</v>
      </c>
      <c r="CY167" s="33">
        <f t="shared" si="70"/>
        <v>5647.1145690948661</v>
      </c>
      <c r="CZ167" s="33">
        <f t="shared" si="70"/>
        <v>9052.004956477158</v>
      </c>
      <c r="DA167" s="33">
        <f t="shared" si="70"/>
        <v>6777.1785406599902</v>
      </c>
      <c r="DB167" s="33">
        <f t="shared" si="70"/>
        <v>10475.832603662562</v>
      </c>
      <c r="DC167" s="33">
        <f t="shared" si="70"/>
        <v>6104.7980392143345</v>
      </c>
      <c r="DD167" s="33">
        <f t="shared" si="70"/>
        <v>9421.3794013657607</v>
      </c>
      <c r="DE167" s="33">
        <f t="shared" si="70"/>
        <v>4641.1396934960658</v>
      </c>
      <c r="DF167" s="33">
        <f t="shared" si="70"/>
        <v>9400.0459765299202</v>
      </c>
      <c r="DG167" s="33">
        <f t="shared" si="70"/>
        <v>5634.1480275653976</v>
      </c>
      <c r="DH167" s="33">
        <f t="shared" si="70"/>
        <v>11551.105737595459</v>
      </c>
      <c r="DI167" s="33">
        <f t="shared" si="70"/>
        <v>7883.157103529009</v>
      </c>
      <c r="DJ167" s="33">
        <f t="shared" si="70"/>
        <v>15236.350223755966</v>
      </c>
      <c r="DK167" s="33">
        <f t="shared" si="70"/>
        <v>10493.078386981711</v>
      </c>
      <c r="DL167" s="33">
        <f t="shared" si="70"/>
        <v>9308.1166590334342</v>
      </c>
      <c r="DM167" s="33">
        <f t="shared" si="70"/>
        <v>9475.2535538996926</v>
      </c>
      <c r="DN167" s="33">
        <f t="shared" si="70"/>
        <v>11796.021666330489</v>
      </c>
      <c r="DO167" s="33">
        <f t="shared" si="70"/>
        <v>8350.1003940715345</v>
      </c>
      <c r="DP167" s="33">
        <f t="shared" si="70"/>
        <v>11831.868187900018</v>
      </c>
      <c r="DQ167" s="33">
        <f t="shared" si="70"/>
        <v>6248.3487081108469</v>
      </c>
      <c r="DR167" s="33">
        <f t="shared" si="70"/>
        <v>11238.248548741169</v>
      </c>
      <c r="DS167" s="33">
        <f t="shared" si="70"/>
        <v>7695.5420590211625</v>
      </c>
      <c r="DT167" s="33">
        <f t="shared" si="70"/>
        <v>13820.313312639984</v>
      </c>
      <c r="DU167" s="33">
        <f t="shared" si="70"/>
        <v>9607.7673457145083</v>
      </c>
      <c r="DV167" s="33">
        <f t="shared" si="70"/>
        <v>17293.473574387048</v>
      </c>
      <c r="DW167" s="33">
        <f t="shared" si="70"/>
        <v>8244.3913287982268</v>
      </c>
      <c r="DX167" s="33">
        <f t="shared" si="70"/>
        <v>12216.031930655687</v>
      </c>
      <c r="DY167" s="33">
        <f t="shared" si="70"/>
        <v>8103.7055203880327</v>
      </c>
      <c r="DZ167" s="33">
        <f t="shared" si="70"/>
        <v>13286.572490745566</v>
      </c>
      <c r="EA167" s="33">
        <f t="shared" si="70"/>
        <v>7752.6418304963681</v>
      </c>
      <c r="EB167" s="33">
        <f t="shared" si="70"/>
        <v>12150.329660691339</v>
      </c>
      <c r="EC167" s="33">
        <f t="shared" si="70"/>
        <v>5876.2076254344238</v>
      </c>
      <c r="ED167" s="33">
        <f t="shared" si="70"/>
        <v>11983.991280943039</v>
      </c>
      <c r="EE167" s="33">
        <f t="shared" si="70"/>
        <v>6969.842037994862</v>
      </c>
      <c r="EF167" s="33">
        <f t="shared" si="70"/>
        <v>14545.630157456999</v>
      </c>
      <c r="EG167" s="33">
        <f t="shared" si="70"/>
        <v>9638.3831437287172</v>
      </c>
      <c r="EH167" s="33">
        <f t="shared" si="70"/>
        <v>17171.254907314971</v>
      </c>
      <c r="EI167" s="33">
        <f t="shared" si="70"/>
        <v>11192.027319246286</v>
      </c>
      <c r="EJ167" s="3"/>
      <c r="EK167" s="3"/>
    </row>
    <row r="168" spans="1:14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2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</row>
    <row r="169" spans="1:141" x14ac:dyDescent="0.25">
      <c r="A169" s="3"/>
      <c r="B169" s="3"/>
      <c r="C169" s="3"/>
      <c r="D169" s="3"/>
      <c r="E169" s="3"/>
      <c r="F169" s="10" t="str">
        <f>KPI!$F$173</f>
        <v>Кред. задолж-ть перед внебюджетными фондами на конец периода</v>
      </c>
      <c r="G169" s="3"/>
      <c r="H169" s="3"/>
      <c r="I169" s="3"/>
      <c r="J169" s="5" t="str">
        <f>IF($F169="","",INDEX(KPI!$I$11:$I$275,SUMIFS(KPI!$E$11:$E$275,KPI!$F$11:$F$275,$F169)))</f>
        <v>тыс.руб.</v>
      </c>
      <c r="K169" s="3"/>
      <c r="L169" s="3"/>
      <c r="M169" s="3"/>
      <c r="N169" s="3"/>
      <c r="O169" s="3"/>
      <c r="P169" s="3"/>
      <c r="Q169" s="12"/>
      <c r="R169" s="3"/>
      <c r="S169" s="55"/>
      <c r="T169" s="33">
        <f>IF(T$9="",0,IF(OR(T$9="",DAY(EOMONTH(T$9,0))=0),0,IF((T115-((SUMIFS(условия!$204:$204,условия!$8:$8,"&lt;="&amp;T$9,условия!$9:$9,"&gt;="&amp;T$9)/DAY(EOMONTH(T$9,0)))*2*T115-S169))&lt;0,S169+T115,IF((SUMIFS(условия!$204:$204,условия!$8:$8,"&lt;="&amp;T$9,условия!$9:$9,"&gt;="&amp;T$9)/DAY(EOMONTH(T$9,0)))*2*T115-S169&lt;0,0,(SUMIFS(условия!$204:$204,условия!$8:$8,"&lt;="&amp;T$9,условия!$9:$9,"&gt;="&amp;T$9)/DAY(EOMONTH(T$9,0)))*2*T115-S169))))</f>
        <v>185.80645161290323</v>
      </c>
      <c r="U169" s="33">
        <f>IF(U$9="",0,IF(OR(U$9="",DAY(EOMONTH(U$9,0))=0),0,IF((U115-((SUMIFS(условия!$204:$204,условия!$8:$8,"&lt;="&amp;U$9,условия!$9:$9,"&gt;="&amp;U$9)/DAY(EOMONTH(U$9,0)))*2*U115-T169))&lt;0,T169+U115,IF((SUMIFS(условия!$204:$204,условия!$8:$8,"&lt;="&amp;U$9,условия!$9:$9,"&gt;="&amp;U$9)/DAY(EOMONTH(U$9,0)))*2*U115-T169&lt;0,0,(SUMIFS(условия!$204:$204,условия!$8:$8,"&lt;="&amp;U$9,условия!$9:$9,"&gt;="&amp;U$9)/DAY(EOMONTH(U$9,0)))*2*U115-T169))))</f>
        <v>19.907834101382491</v>
      </c>
      <c r="V169" s="33">
        <f>IF(V$9="",0,IF(OR(V$9="",DAY(EOMONTH(V$9,0))=0),0,IF((V115-((SUMIFS(условия!$204:$204,условия!$8:$8,"&lt;="&amp;V$9,условия!$9:$9,"&gt;="&amp;V$9)/DAY(EOMONTH(V$9,0)))*2*V115-U169))&lt;0,U169+V115,IF((SUMIFS(условия!$204:$204,условия!$8:$8,"&lt;="&amp;V$9,условия!$9:$9,"&gt;="&amp;V$9)/DAY(EOMONTH(V$9,0)))*2*V115-U169&lt;0,0,(SUMIFS(условия!$204:$204,условия!$8:$8,"&lt;="&amp;V$9,условия!$9:$9,"&gt;="&amp;V$9)/DAY(EOMONTH(V$9,0)))*2*V115-U169))))</f>
        <v>165.89861751152074</v>
      </c>
      <c r="W169" s="33">
        <f>IF(W$9="",0,IF(OR(W$9="",DAY(EOMONTH(W$9,0))=0),0,IF((W115-((SUMIFS(условия!$204:$204,условия!$8:$8,"&lt;="&amp;W$9,условия!$9:$9,"&gt;="&amp;W$9)/DAY(EOMONTH(W$9,0)))*2*W115-V169))&lt;0,V169+W115,IF((SUMIFS(условия!$204:$204,условия!$8:$8,"&lt;="&amp;W$9,условия!$9:$9,"&gt;="&amp;W$9)/DAY(EOMONTH(W$9,0)))*2*W115-V169&lt;0,0,(SUMIFS(условия!$204:$204,условия!$8:$8,"&lt;="&amp;W$9,условия!$9:$9,"&gt;="&amp;W$9)/DAY(EOMONTH(W$9,0)))*2*W115-V169))))</f>
        <v>26.10138248847926</v>
      </c>
      <c r="X169" s="33">
        <f>IF(X$9="",0,IF(OR(X$9="",DAY(EOMONTH(X$9,0))=0),0,IF((X115-((SUMIFS(условия!$204:$204,условия!$8:$8,"&lt;="&amp;X$9,условия!$9:$9,"&gt;="&amp;X$9)/DAY(EOMONTH(X$9,0)))*2*X115-W169))&lt;0,W169+X115,IF((SUMIFS(условия!$204:$204,условия!$8:$8,"&lt;="&amp;X$9,условия!$9:$9,"&gt;="&amp;X$9)/DAY(EOMONTH(X$9,0)))*2*X115-W169&lt;0,0,(SUMIFS(условия!$204:$204,условия!$8:$8,"&lt;="&amp;X$9,условия!$9:$9,"&gt;="&amp;X$9)/DAY(EOMONTH(X$9,0)))*2*X115-W169))))</f>
        <v>492.3878214355247</v>
      </c>
      <c r="Y169" s="33">
        <f>IF(Y$9="",0,IF(OR(Y$9="",DAY(EOMONTH(Y$9,0))=0),0,IF((Y115-((SUMIFS(условия!$204:$204,условия!$8:$8,"&lt;="&amp;Y$9,условия!$9:$9,"&gt;="&amp;Y$9)/DAY(EOMONTH(Y$9,0)))*2*Y115-X169))&lt;0,X169+Y115,IF((SUMIFS(условия!$204:$204,условия!$8:$8,"&lt;="&amp;Y$9,условия!$9:$9,"&gt;="&amp;Y$9)/DAY(EOMONTH(Y$9,0)))*2*Y115-X169&lt;0,0,(SUMIFS(условия!$204:$204,условия!$8:$8,"&lt;="&amp;Y$9,условия!$9:$9,"&gt;="&amp;Y$9)/DAY(EOMONTH(Y$9,0)))*2*Y115-X169))))</f>
        <v>20.255568564475254</v>
      </c>
      <c r="Z169" s="33">
        <f>IF(Z$9="",0,IF(OR(Z$9="",DAY(EOMONTH(Z$9,0))=0),0,IF((Z115-((SUMIFS(условия!$204:$204,условия!$8:$8,"&lt;="&amp;Z$9,условия!$9:$9,"&gt;="&amp;Z$9)/DAY(EOMONTH(Z$9,0)))*2*Z115-Y169))&lt;0,Y169+Z115,IF((SUMIFS(условия!$204:$204,условия!$8:$8,"&lt;="&amp;Z$9,условия!$9:$9,"&gt;="&amp;Z$9)/DAY(EOMONTH(Z$9,0)))*2*Z115-Y169&lt;0,0,(SUMIFS(условия!$204:$204,условия!$8:$8,"&lt;="&amp;Z$9,условия!$9:$9,"&gt;="&amp;Z$9)/DAY(EOMONTH(Z$9,0)))*2*Z115-Y169))))</f>
        <v>476.58842380210723</v>
      </c>
      <c r="AA169" s="33">
        <f>IF(AA$9="",0,IF(OR(AA$9="",DAY(EOMONTH(AA$9,0))=0),0,IF((AA115-((SUMIFS(условия!$204:$204,условия!$8:$8,"&lt;="&amp;AA$9,условия!$9:$9,"&gt;="&amp;AA$9)/DAY(EOMONTH(AA$9,0)))*2*AA115-Z169))&lt;0,Z169+AA115,IF((SUMIFS(условия!$204:$204,условия!$8:$8,"&lt;="&amp;AA$9,условия!$9:$9,"&gt;="&amp;AA$9)/DAY(EOMONTH(AA$9,0)))*2*AA115-Z169&lt;0,0,(SUMIFS(условия!$204:$204,условия!$8:$8,"&lt;="&amp;AA$9,условия!$9:$9,"&gt;="&amp;AA$9)/DAY(EOMONTH(AA$9,0)))*2*AA115-Z169))))</f>
        <v>25.781239536676765</v>
      </c>
      <c r="AB169" s="33">
        <f>IF(AB$9="",0,IF(OR(AB$9="",DAY(EOMONTH(AB$9,0))=0),0,IF((AB115-((SUMIFS(условия!$204:$204,условия!$8:$8,"&lt;="&amp;AB$9,условия!$9:$9,"&gt;="&amp;AB$9)/DAY(EOMONTH(AB$9,0)))*2*AB115-AA169))&lt;0,AA169+AB115,IF((SUMIFS(условия!$204:$204,условия!$8:$8,"&lt;="&amp;AB$9,условия!$9:$9,"&gt;="&amp;AB$9)/DAY(EOMONTH(AB$9,0)))*2*AB115-AA169&lt;0,0,(SUMIFS(условия!$204:$204,условия!$8:$8,"&lt;="&amp;AB$9,условия!$9:$9,"&gt;="&amp;AB$9)/DAY(EOMONTH(AB$9,0)))*2*AB115-AA169))))</f>
        <v>494.18173002092698</v>
      </c>
      <c r="AC169" s="33">
        <f>IF(AC$9="",0,IF(OR(AC$9="",DAY(EOMONTH(AC$9,0))=0),0,IF((AC115-((SUMIFS(условия!$204:$204,условия!$8:$8,"&lt;="&amp;AC$9,условия!$9:$9,"&gt;="&amp;AC$9)/DAY(EOMONTH(AC$9,0)))*2*AC115-AB169))&lt;0,AB169+AC115,IF((SUMIFS(условия!$204:$204,условия!$8:$8,"&lt;="&amp;AC$9,условия!$9:$9,"&gt;="&amp;AC$9)/DAY(EOMONTH(AC$9,0)))*2*AC115-AB169&lt;0,0,(SUMIFS(условия!$204:$204,условия!$8:$8,"&lt;="&amp;AC$9,условия!$9:$9,"&gt;="&amp;AC$9)/DAY(EOMONTH(AC$9,0)))*2*AC115-AB169))))</f>
        <v>15.274757549432252</v>
      </c>
      <c r="AD169" s="33">
        <f>IF(AD$9="",0,IF(OR(AD$9="",DAY(EOMONTH(AD$9,0))=0),0,IF((AD115-((SUMIFS(условия!$204:$204,условия!$8:$8,"&lt;="&amp;AD$9,условия!$9:$9,"&gt;="&amp;AD$9)/DAY(EOMONTH(AD$9,0)))*2*AD115-AC169))&lt;0,AC169+AD115,IF((SUMIFS(условия!$204:$204,условия!$8:$8,"&lt;="&amp;AD$9,условия!$9:$9,"&gt;="&amp;AD$9)/DAY(EOMONTH(AD$9,0)))*2*AD115-AC169&lt;0,0,(SUMIFS(условия!$204:$204,условия!$8:$8,"&lt;="&amp;AD$9,условия!$9:$9,"&gt;="&amp;AD$9)/DAY(EOMONTH(AD$9,0)))*2*AD115-AC169))))</f>
        <v>518.41485689831563</v>
      </c>
      <c r="AE169" s="33">
        <f>IF(AE$9="",0,IF(OR(AE$9="",DAY(EOMONTH(AE$9,0))=0),0,IF((AE115-((SUMIFS(условия!$204:$204,условия!$8:$8,"&lt;="&amp;AE$9,условия!$9:$9,"&gt;="&amp;AE$9)/DAY(EOMONTH(AE$9,0)))*2*AE115-AD169))&lt;0,AD169+AE115,IF((SUMIFS(условия!$204:$204,условия!$8:$8,"&lt;="&amp;AE$9,условия!$9:$9,"&gt;="&amp;AE$9)/DAY(EOMONTH(AE$9,0)))*2*AE115-AD169&lt;0,0,(SUMIFS(условия!$204:$204,условия!$8:$8,"&lt;="&amp;AE$9,условия!$9:$9,"&gt;="&amp;AE$9)/DAY(EOMONTH(AE$9,0)))*2*AE115-AD169))))</f>
        <v>0</v>
      </c>
      <c r="AF169" s="33">
        <f>IF(AF$9="",0,IF(OR(AF$9="",DAY(EOMONTH(AF$9,0))=0),0,IF((AF115-((SUMIFS(условия!$204:$204,условия!$8:$8,"&lt;="&amp;AF$9,условия!$9:$9,"&gt;="&amp;AF$9)/DAY(EOMONTH(AF$9,0)))*2*AF115-AE169))&lt;0,AE169+AF115,IF((SUMIFS(условия!$204:$204,условия!$8:$8,"&lt;="&amp;AF$9,условия!$9:$9,"&gt;="&amp;AF$9)/DAY(EOMONTH(AF$9,0)))*2*AF115-AE169&lt;0,0,(SUMIFS(условия!$204:$204,условия!$8:$8,"&lt;="&amp;AF$9,условия!$9:$9,"&gt;="&amp;AF$9)/DAY(EOMONTH(AF$9,0)))*2*AF115-AE169))))</f>
        <v>844.19924670500893</v>
      </c>
      <c r="AG169" s="33">
        <f>IF(AG$9="",0,IF(OR(AG$9="",DAY(EOMONTH(AG$9,0))=0),0,IF((AG115-((SUMIFS(условия!$204:$204,условия!$8:$8,"&lt;="&amp;AG$9,условия!$9:$9,"&gt;="&amp;AG$9)/DAY(EOMONTH(AG$9,0)))*2*AG115-AF169))&lt;0,AF169+AG115,IF((SUMIFS(условия!$204:$204,условия!$8:$8,"&lt;="&amp;AG$9,условия!$9:$9,"&gt;="&amp;AG$9)/DAY(EOMONTH(AG$9,0)))*2*AG115-AF169&lt;0,0,(SUMIFS(условия!$204:$204,условия!$8:$8,"&lt;="&amp;AG$9,условия!$9:$9,"&gt;="&amp;AG$9)/DAY(EOMONTH(AG$9,0)))*2*AG115-AF169))))</f>
        <v>47.14796454217992</v>
      </c>
      <c r="AH169" s="33">
        <f>IF(AH$9="",0,IF(OR(AH$9="",DAY(EOMONTH(AH$9,0))=0),0,IF((AH115-((SUMIFS(условия!$204:$204,условия!$8:$8,"&lt;="&amp;AH$9,условия!$9:$9,"&gt;="&amp;AH$9)/DAY(EOMONTH(AH$9,0)))*2*AH115-AG169))&lt;0,AG169+AH115,IF((SUMIFS(условия!$204:$204,условия!$8:$8,"&lt;="&amp;AH$9,условия!$9:$9,"&gt;="&amp;AH$9)/DAY(EOMONTH(AH$9,0)))*2*AH115-AG169&lt;0,0,(SUMIFS(условия!$204:$204,условия!$8:$8,"&lt;="&amp;AH$9,условия!$9:$9,"&gt;="&amp;AH$9)/DAY(EOMONTH(AH$9,0)))*2*AH115-AG169))))</f>
        <v>775.31177520225299</v>
      </c>
      <c r="AI169" s="33">
        <f>IF(AI$9="",0,IF(OR(AI$9="",DAY(EOMONTH(AI$9,0))=0),0,IF((AI115-((SUMIFS(условия!$204:$204,условия!$8:$8,"&lt;="&amp;AI$9,условия!$9:$9,"&gt;="&amp;AI$9)/DAY(EOMONTH(AI$9,0)))*2*AI115-AH169))&lt;0,AH169+AI115,IF((SUMIFS(условия!$204:$204,условия!$8:$8,"&lt;="&amp;AI$9,условия!$9:$9,"&gt;="&amp;AI$9)/DAY(EOMONTH(AI$9,0)))*2*AI115-AH169&lt;0,0,(SUMIFS(условия!$204:$204,условия!$8:$8,"&lt;="&amp;AI$9,условия!$9:$9,"&gt;="&amp;AI$9)/DAY(EOMONTH(AI$9,0)))*2*AI115-AH169))))</f>
        <v>60.942402824275973</v>
      </c>
      <c r="AJ169" s="33">
        <f>IF(AJ$9="",0,IF(OR(AJ$9="",DAY(EOMONTH(AJ$9,0))=0),0,IF((AJ115-((SUMIFS(условия!$204:$204,условия!$8:$8,"&lt;="&amp;AJ$9,условия!$9:$9,"&gt;="&amp;AJ$9)/DAY(EOMONTH(AJ$9,0)))*2*AJ115-AI169))&lt;0,AI169+AJ115,IF((SUMIFS(условия!$204:$204,условия!$8:$8,"&lt;="&amp;AJ$9,условия!$9:$9,"&gt;="&amp;AJ$9)/DAY(EOMONTH(AJ$9,0)))*2*AJ115-AI169&lt;0,0,(SUMIFS(условия!$204:$204,условия!$8:$8,"&lt;="&amp;AJ$9,условия!$9:$9,"&gt;="&amp;AJ$9)/DAY(EOMONTH(AJ$9,0)))*2*AJ115-AI169))))</f>
        <v>745.10379784514907</v>
      </c>
      <c r="AK169" s="33">
        <f>IF(AK$9="",0,IF(OR(AK$9="",DAY(EOMONTH(AK$9,0))=0),0,IF((AK115-((SUMIFS(условия!$204:$204,условия!$8:$8,"&lt;="&amp;AK$9,условия!$9:$9,"&gt;="&amp;AK$9)/DAY(EOMONTH(AK$9,0)))*2*AK115-AJ169))&lt;0,AJ169+AK115,IF((SUMIFS(условия!$204:$204,условия!$8:$8,"&lt;="&amp;AK$9,условия!$9:$9,"&gt;="&amp;AK$9)/DAY(EOMONTH(AK$9,0)))*2*AK115-AJ169&lt;0,0,(SUMIFS(условия!$204:$204,условия!$8:$8,"&lt;="&amp;AK$9,условия!$9:$9,"&gt;="&amp;AK$9)/DAY(EOMONTH(AK$9,0)))*2*AK115-AJ169))))</f>
        <v>89.791078676906977</v>
      </c>
      <c r="AL169" s="33">
        <f>IF(AL$9="",0,IF(OR(AL$9="",DAY(EOMONTH(AL$9,0))=0),0,IF((AL115-((SUMIFS(условия!$204:$204,условия!$8:$8,"&lt;="&amp;AL$9,условия!$9:$9,"&gt;="&amp;AL$9)/DAY(EOMONTH(AL$9,0)))*2*AL115-AK169))&lt;0,AK169+AL115,IF((SUMIFS(условия!$204:$204,условия!$8:$8,"&lt;="&amp;AL$9,условия!$9:$9,"&gt;="&amp;AL$9)/DAY(EOMONTH(AL$9,0)))*2*AL115-AK169&lt;0,0,(SUMIFS(условия!$204:$204,условия!$8:$8,"&lt;="&amp;AL$9,условия!$9:$9,"&gt;="&amp;AL$9)/DAY(EOMONTH(AL$9,0)))*2*AL115-AK169))))</f>
        <v>716.14356749514764</v>
      </c>
      <c r="AM169" s="33">
        <f>IF(AM$9="",0,IF(OR(AM$9="",DAY(EOMONTH(AM$9,0))=0),0,IF((AM115-((SUMIFS(условия!$204:$204,условия!$8:$8,"&lt;="&amp;AM$9,условия!$9:$9,"&gt;="&amp;AM$9)/DAY(EOMONTH(AM$9,0)))*2*AM115-AL169))&lt;0,AL169+AM115,IF((SUMIFS(условия!$204:$204,условия!$8:$8,"&lt;="&amp;AM$9,условия!$9:$9,"&gt;="&amp;AM$9)/DAY(EOMONTH(AM$9,0)))*2*AM115-AL169&lt;0,0,(SUMIFS(условия!$204:$204,условия!$8:$8,"&lt;="&amp;AM$9,условия!$9:$9,"&gt;="&amp;AM$9)/DAY(EOMONTH(AM$9,0)))*2*AM115-AL169))))</f>
        <v>107.23165191124951</v>
      </c>
      <c r="AN169" s="33">
        <f>IF(AN$9="",0,IF(OR(AN$9="",DAY(EOMONTH(AN$9,0))=0),0,IF((AN115-((SUMIFS(условия!$204:$204,условия!$8:$8,"&lt;="&amp;AN$9,условия!$9:$9,"&gt;="&amp;AN$9)/DAY(EOMONTH(AN$9,0)))*2*AN115-AM169))&lt;0,AM169+AN115,IF((SUMIFS(условия!$204:$204,условия!$8:$8,"&lt;="&amp;AN$9,условия!$9:$9,"&gt;="&amp;AN$9)/DAY(EOMONTH(AN$9,0)))*2*AN115-AM169&lt;0,0,(SUMIFS(условия!$204:$204,условия!$8:$8,"&lt;="&amp;AN$9,условия!$9:$9,"&gt;="&amp;AN$9)/DAY(EOMONTH(AN$9,0)))*2*AN115-AM169))))</f>
        <v>765.13418140118006</v>
      </c>
      <c r="AO169" s="33">
        <f>IF(AO$9="",0,IF(OR(AO$9="",DAY(EOMONTH(AO$9,0))=0),0,IF((AO115-((SUMIFS(условия!$204:$204,условия!$8:$8,"&lt;="&amp;AO$9,условия!$9:$9,"&gt;="&amp;AO$9)/DAY(EOMONTH(AO$9,0)))*2*AO115-AN169))&lt;0,AN169+AO115,IF((SUMIFS(условия!$204:$204,условия!$8:$8,"&lt;="&amp;AO$9,условия!$9:$9,"&gt;="&amp;AO$9)/DAY(EOMONTH(AO$9,0)))*2*AO115-AN169&lt;0,0,(SUMIFS(условия!$204:$204,условия!$8:$8,"&lt;="&amp;AO$9,условия!$9:$9,"&gt;="&amp;AO$9)/DAY(EOMONTH(AO$9,0)))*2*AO115-AN169))))</f>
        <v>68.620738175889301</v>
      </c>
      <c r="AP169" s="33">
        <f>IF(AP$9="",0,IF(OR(AP$9="",DAY(EOMONTH(AP$9,0))=0),0,IF((AP115-((SUMIFS(условия!$204:$204,условия!$8:$8,"&lt;="&amp;AP$9,условия!$9:$9,"&gt;="&amp;AP$9)/DAY(EOMONTH(AP$9,0)))*2*AP115-AO169))&lt;0,AO169+AP115,IF((SUMIFS(условия!$204:$204,условия!$8:$8,"&lt;="&amp;AP$9,условия!$9:$9,"&gt;="&amp;AP$9)/DAY(EOMONTH(AP$9,0)))*2*AP115-AO169&lt;0,0,(SUMIFS(условия!$204:$204,условия!$8:$8,"&lt;="&amp;AP$9,условия!$9:$9,"&gt;="&amp;AP$9)/DAY(EOMONTH(AP$9,0)))*2*AP115-AO169))))</f>
        <v>861.89196894174654</v>
      </c>
      <c r="AQ169" s="33">
        <f>IF(AQ$9="",0,IF(OR(AQ$9="",DAY(EOMONTH(AQ$9,0))=0),0,IF((AQ115-((SUMIFS(условия!$204:$204,условия!$8:$8,"&lt;="&amp;AQ$9,условия!$9:$9,"&gt;="&amp;AQ$9)/DAY(EOMONTH(AQ$9,0)))*2*AQ115-AP169))&lt;0,AP169+AQ115,IF((SUMIFS(условия!$204:$204,условия!$8:$8,"&lt;="&amp;AQ$9,условия!$9:$9,"&gt;="&amp;AQ$9)/DAY(EOMONTH(AQ$9,0)))*2*AQ115-AP169&lt;0,0,(SUMIFS(условия!$204:$204,условия!$8:$8,"&lt;="&amp;AQ$9,условия!$9:$9,"&gt;="&amp;AQ$9)/DAY(EOMONTH(AQ$9,0)))*2*AQ115-AP169))))</f>
        <v>0</v>
      </c>
      <c r="AR169" s="33">
        <f>IF(AR$9="",0,IF(OR(AR$9="",DAY(EOMONTH(AR$9,0))=0),0,IF((AR115-((SUMIFS(условия!$204:$204,условия!$8:$8,"&lt;="&amp;AR$9,условия!$9:$9,"&gt;="&amp;AR$9)/DAY(EOMONTH(AR$9,0)))*2*AR115-AQ169))&lt;0,AQ169+AR115,IF((SUMIFS(условия!$204:$204,условия!$8:$8,"&lt;="&amp;AR$9,условия!$9:$9,"&gt;="&amp;AR$9)/DAY(EOMONTH(AR$9,0)))*2*AR115-AQ169&lt;0,0,(SUMIFS(условия!$204:$204,условия!$8:$8,"&lt;="&amp;AR$9,условия!$9:$9,"&gt;="&amp;AR$9)/DAY(EOMONTH(AR$9,0)))*2*AR115-AQ169))))</f>
        <v>961.82269942662367</v>
      </c>
      <c r="AS169" s="33">
        <f>IF(AS$9="",0,IF(OR(AS$9="",DAY(EOMONTH(AS$9,0))=0),0,IF((AS115-((SUMIFS(условия!$204:$204,условия!$8:$8,"&lt;="&amp;AS$9,условия!$9:$9,"&gt;="&amp;AS$9)/DAY(EOMONTH(AS$9,0)))*2*AS115-AR169))&lt;0,AR169+AS115,IF((SUMIFS(условия!$204:$204,условия!$8:$8,"&lt;="&amp;AS$9,условия!$9:$9,"&gt;="&amp;AS$9)/DAY(EOMONTH(AS$9,0)))*2*AS115-AR169&lt;0,0,(SUMIFS(условия!$204:$204,условия!$8:$8,"&lt;="&amp;AS$9,условия!$9:$9,"&gt;="&amp;AS$9)/DAY(EOMONTH(AS$9,0)))*2*AS115-AR169))))</f>
        <v>43.806006387201251</v>
      </c>
      <c r="AT169" s="33">
        <f>IF(AT$9="",0,IF(OR(AT$9="",DAY(EOMONTH(AT$9,0))=0),0,IF((AT115-((SUMIFS(условия!$204:$204,условия!$8:$8,"&lt;="&amp;AT$9,условия!$9:$9,"&gt;="&amp;AT$9)/DAY(EOMONTH(AT$9,0)))*2*AT115-AS169))&lt;0,AS169+AT115,IF((SUMIFS(условия!$204:$204,условия!$8:$8,"&lt;="&amp;AT$9,условия!$9:$9,"&gt;="&amp;AT$9)/DAY(EOMONTH(AT$9,0)))*2*AT115-AS169&lt;0,0,(SUMIFS(условия!$204:$204,условия!$8:$8,"&lt;="&amp;AT$9,условия!$9:$9,"&gt;="&amp;AT$9)/DAY(EOMONTH(AT$9,0)))*2*AT115-AS169))))</f>
        <v>947.39302015813973</v>
      </c>
      <c r="AU169" s="33">
        <f>IF(AU$9="",0,IF(OR(AU$9="",DAY(EOMONTH(AU$9,0))=0),0,IF((AU115-((SUMIFS(условия!$204:$204,условия!$8:$8,"&lt;="&amp;AU$9,условия!$9:$9,"&gt;="&amp;AU$9)/DAY(EOMONTH(AU$9,0)))*2*AU115-AT169))&lt;0,AT169+AU115,IF((SUMIFS(условия!$204:$204,условия!$8:$8,"&lt;="&amp;AU$9,условия!$9:$9,"&gt;="&amp;AU$9)/DAY(EOMONTH(AU$9,0)))*2*AU115-AT169&lt;0,0,(SUMIFS(условия!$204:$204,условия!$8:$8,"&lt;="&amp;AU$9,условия!$9:$9,"&gt;="&amp;AU$9)/DAY(EOMONTH(AU$9,0)))*2*AU115-AT169))))</f>
        <v>3.5315837210860082</v>
      </c>
      <c r="AV169" s="33">
        <f>IF(AV$9="",0,IF(OR(AV$9="",DAY(EOMONTH(AV$9,0))=0),0,IF((AV115-((SUMIFS(условия!$204:$204,условия!$8:$8,"&lt;="&amp;AV$9,условия!$9:$9,"&gt;="&amp;AV$9)/DAY(EOMONTH(AV$9,0)))*2*AV115-AU169))&lt;0,AU169+AV115,IF((SUMIFS(условия!$204:$204,условия!$8:$8,"&lt;="&amp;AV$9,условия!$9:$9,"&gt;="&amp;AV$9)/DAY(EOMONTH(AV$9,0)))*2*AV115-AU169&lt;0,0,(SUMIFS(условия!$204:$204,условия!$8:$8,"&lt;="&amp;AV$9,условия!$9:$9,"&gt;="&amp;AV$9)/DAY(EOMONTH(AV$9,0)))*2*AV115-AU169))))</f>
        <v>899.19908279462686</v>
      </c>
      <c r="AW169" s="33">
        <f>IF(AW$9="",0,IF(OR(AW$9="",DAY(EOMONTH(AW$9,0))=0),0,IF((AW115-((SUMIFS(условия!$204:$204,условия!$8:$8,"&lt;="&amp;AW$9,условия!$9:$9,"&gt;="&amp;AW$9)/DAY(EOMONTH(AW$9,0)))*2*AW115-AV169))&lt;0,AV169+AW115,IF((SUMIFS(условия!$204:$204,условия!$8:$8,"&lt;="&amp;AW$9,условия!$9:$9,"&gt;="&amp;AW$9)/DAY(EOMONTH(AW$9,0)))*2*AW115-AV169&lt;0,0,(SUMIFS(условия!$204:$204,условия!$8:$8,"&lt;="&amp;AW$9,условия!$9:$9,"&gt;="&amp;AW$9)/DAY(EOMONTH(AW$9,0)))*2*AW115-AV169))))</f>
        <v>30.997556916340841</v>
      </c>
      <c r="AX169" s="33">
        <f>IF(AX$9="",0,IF(OR(AX$9="",DAY(EOMONTH(AX$9,0))=0),0,IF((AX115-((SUMIFS(условия!$204:$204,условия!$8:$8,"&lt;="&amp;AX$9,условия!$9:$9,"&gt;="&amp;AX$9)/DAY(EOMONTH(AX$9,0)))*2*AX115-AW169))&lt;0,AW169+AX115,IF((SUMIFS(условия!$204:$204,условия!$8:$8,"&lt;="&amp;AX$9,условия!$9:$9,"&gt;="&amp;AX$9)/DAY(EOMONTH(AX$9,0)))*2*AX115-AW169&lt;0,0,(SUMIFS(условия!$204:$204,условия!$8:$8,"&lt;="&amp;AX$9,условия!$9:$9,"&gt;="&amp;AX$9)/DAY(EOMONTH(AX$9,0)))*2*AX115-AW169))))</f>
        <v>879.31718026436636</v>
      </c>
      <c r="AY169" s="33">
        <f>IF(AY$9="",0,IF(OR(AY$9="",DAY(EOMONTH(AY$9,0))=0),0,IF((AY115-((SUMIFS(условия!$204:$204,условия!$8:$8,"&lt;="&amp;AY$9,условия!$9:$9,"&gt;="&amp;AY$9)/DAY(EOMONTH(AY$9,0)))*2*AY115-AX169))&lt;0,AX169+AY115,IF((SUMIFS(условия!$204:$204,условия!$8:$8,"&lt;="&amp;AY$9,условия!$9:$9,"&gt;="&amp;AY$9)/DAY(EOMONTH(AY$9,0)))*2*AY115-AX169&lt;0,0,(SUMIFS(условия!$204:$204,условия!$8:$8,"&lt;="&amp;AY$9,условия!$9:$9,"&gt;="&amp;AY$9)/DAY(EOMONTH(AY$9,0)))*2*AY115-AX169))))</f>
        <v>79.490931594473182</v>
      </c>
      <c r="AZ169" s="33">
        <f>IF(AZ$9="",0,IF(OR(AZ$9="",DAY(EOMONTH(AZ$9,0))=0),0,IF((AZ115-((SUMIFS(условия!$204:$204,условия!$8:$8,"&lt;="&amp;AZ$9,условия!$9:$9,"&gt;="&amp;AZ$9)/DAY(EOMONTH(AZ$9,0)))*2*AZ115-AY169))&lt;0,AY169+AZ115,IF((SUMIFS(условия!$204:$204,условия!$8:$8,"&lt;="&amp;AZ$9,условия!$9:$9,"&gt;="&amp;AZ$9)/DAY(EOMONTH(AZ$9,0)))*2*AZ115-AY169&lt;0,0,(SUMIFS(условия!$204:$204,условия!$8:$8,"&lt;="&amp;AZ$9,условия!$9:$9,"&gt;="&amp;AZ$9)/DAY(EOMONTH(AZ$9,0)))*2*AZ115-AY169))))</f>
        <v>959.9702463061634</v>
      </c>
      <c r="BA169" s="33">
        <f>IF(BA$9="",0,IF(OR(BA$9="",DAY(EOMONTH(BA$9,0))=0),0,IF((BA115-((SUMIFS(условия!$204:$204,условия!$8:$8,"&lt;="&amp;BA$9,условия!$9:$9,"&gt;="&amp;BA$9)/DAY(EOMONTH(BA$9,0)))*2*BA115-AZ169))&lt;0,AZ169+BA115,IF((SUMIFS(условия!$204:$204,условия!$8:$8,"&lt;="&amp;BA$9,условия!$9:$9,"&gt;="&amp;BA$9)/DAY(EOMONTH(BA$9,0)))*2*BA115-AZ169&lt;0,0,(SUMIFS(условия!$204:$204,условия!$8:$8,"&lt;="&amp;BA$9,условия!$9:$9,"&gt;="&amp;BA$9)/DAY(EOMONTH(BA$9,0)))*2*BA115-AZ169))))</f>
        <v>41.452603494059304</v>
      </c>
      <c r="BB169" s="33">
        <f>IF(BB$9="",0,IF(OR(BB$9="",DAY(EOMONTH(BB$9,0))=0),0,IF((BB115-((SUMIFS(условия!$204:$204,условия!$8:$8,"&lt;="&amp;BB$9,условия!$9:$9,"&gt;="&amp;BB$9)/DAY(EOMONTH(BB$9,0)))*2*BB115-BA169))&lt;0,BA169+BB115,IF((SUMIFS(условия!$204:$204,условия!$8:$8,"&lt;="&amp;BB$9,условия!$9:$9,"&gt;="&amp;BB$9)/DAY(EOMONTH(BB$9,0)))*2*BB115-BA169&lt;0,0,(SUMIFS(условия!$204:$204,условия!$8:$8,"&lt;="&amp;BB$9,условия!$9:$9,"&gt;="&amp;BB$9)/DAY(EOMONTH(BB$9,0)))*2*BB115-BA169))))</f>
        <v>1148.534296417876</v>
      </c>
      <c r="BC169" s="33">
        <f>IF(BC$9="",0,IF(OR(BC$9="",DAY(EOMONTH(BC$9,0))=0),0,IF((BC115-((SUMIFS(условия!$204:$204,условия!$8:$8,"&lt;="&amp;BC$9,условия!$9:$9,"&gt;="&amp;BC$9)/DAY(EOMONTH(BC$9,0)))*2*BC115-BB169))&lt;0,BB169+BC115,IF((SUMIFS(условия!$204:$204,условия!$8:$8,"&lt;="&amp;BC$9,условия!$9:$9,"&gt;="&amp;BC$9)/DAY(EOMONTH(BC$9,0)))*2*BC115-BB169&lt;0,0,(SUMIFS(условия!$204:$204,условия!$8:$8,"&lt;="&amp;BC$9,условия!$9:$9,"&gt;="&amp;BC$9)/DAY(EOMONTH(BC$9,0)))*2*BC115-BB169))))</f>
        <v>0</v>
      </c>
      <c r="BD169" s="33">
        <f>IF(BD$9="",0,IF(OR(BD$9="",DAY(EOMONTH(BD$9,0))=0),0,IF((BD115-((SUMIFS(условия!$204:$204,условия!$8:$8,"&lt;="&amp;BD$9,условия!$9:$9,"&gt;="&amp;BD$9)/DAY(EOMONTH(BD$9,0)))*2*BD115-BC169))&lt;0,BC169+BD115,IF((SUMIFS(условия!$204:$204,условия!$8:$8,"&lt;="&amp;BD$9,условия!$9:$9,"&gt;="&amp;BD$9)/DAY(EOMONTH(BD$9,0)))*2*BD115-BC169&lt;0,0,(SUMIFS(условия!$204:$204,условия!$8:$8,"&lt;="&amp;BD$9,условия!$9:$9,"&gt;="&amp;BD$9)/DAY(EOMONTH(BD$9,0)))*2*BD115-BC169))))</f>
        <v>1122.8623174466597</v>
      </c>
      <c r="BE169" s="33">
        <f>IF(BE$9="",0,IF(OR(BE$9="",DAY(EOMONTH(BE$9,0))=0),0,IF((BE115-((SUMIFS(условия!$204:$204,условия!$8:$8,"&lt;="&amp;BE$9,условия!$9:$9,"&gt;="&amp;BE$9)/DAY(EOMONTH(BE$9,0)))*2*BE115-BD169))&lt;0,BD169+BE115,IF((SUMIFS(условия!$204:$204,условия!$8:$8,"&lt;="&amp;BE$9,условия!$9:$9,"&gt;="&amp;BE$9)/DAY(EOMONTH(BE$9,0)))*2*BE115-BD169&lt;0,0,(SUMIFS(условия!$204:$204,условия!$8:$8,"&lt;="&amp;BE$9,условия!$9:$9,"&gt;="&amp;BE$9)/DAY(EOMONTH(BE$9,0)))*2*BE115-BD169))))</f>
        <v>50.231577796625515</v>
      </c>
      <c r="BF169" s="33">
        <f>IF(BF$9="",0,IF(OR(BF$9="",DAY(EOMONTH(BF$9,0))=0),0,IF((BF115-((SUMIFS(условия!$204:$204,условия!$8:$8,"&lt;="&amp;BF$9,условия!$9:$9,"&gt;="&amp;BF$9)/DAY(EOMONTH(BF$9,0)))*2*BF115-BE169))&lt;0,BE169+BF115,IF((SUMIFS(условия!$204:$204,условия!$8:$8,"&lt;="&amp;BF$9,условия!$9:$9,"&gt;="&amp;BF$9)/DAY(EOMONTH(BF$9,0)))*2*BF115-BE169&lt;0,0,(SUMIFS(условия!$204:$204,условия!$8:$8,"&lt;="&amp;BF$9,условия!$9:$9,"&gt;="&amp;BF$9)/DAY(EOMONTH(BF$9,0)))*2*BF115-BE169))))</f>
        <v>1184.7574772409002</v>
      </c>
      <c r="BG169" s="33">
        <f>IF(BG$9="",0,IF(OR(BG$9="",DAY(EOMONTH(BG$9,0))=0),0,IF((BG115-((SUMIFS(условия!$204:$204,условия!$8:$8,"&lt;="&amp;BG$9,условия!$9:$9,"&gt;="&amp;BG$9)/DAY(EOMONTH(BG$9,0)))*2*BG115-BF169))&lt;0,BF169+BG115,IF((SUMIFS(условия!$204:$204,условия!$8:$8,"&lt;="&amp;BG$9,условия!$9:$9,"&gt;="&amp;BG$9)/DAY(EOMONTH(BG$9,0)))*2*BG115-BF169&lt;0,0,(SUMIFS(условия!$204:$204,условия!$8:$8,"&lt;="&amp;BG$9,условия!$9:$9,"&gt;="&amp;BG$9)/DAY(EOMONTH(BG$9,0)))*2*BG115-BF169))))</f>
        <v>0</v>
      </c>
      <c r="BH169" s="33">
        <f>IF(BH$9="",0,IF(OR(BH$9="",DAY(EOMONTH(BH$9,0))=0),0,IF((BH115-((SUMIFS(условия!$204:$204,условия!$8:$8,"&lt;="&amp;BH$9,условия!$9:$9,"&gt;="&amp;BH$9)/DAY(EOMONTH(BH$9,0)))*2*BH115-BG169))&lt;0,BG169+BH115,IF((SUMIFS(условия!$204:$204,условия!$8:$8,"&lt;="&amp;BH$9,условия!$9:$9,"&gt;="&amp;BH$9)/DAY(EOMONTH(BH$9,0)))*2*BH115-BG169&lt;0,0,(SUMIFS(условия!$204:$204,условия!$8:$8,"&lt;="&amp;BH$9,условия!$9:$9,"&gt;="&amp;BH$9)/DAY(EOMONTH(BH$9,0)))*2*BH115-BG169))))</f>
        <v>1052.0648961424495</v>
      </c>
      <c r="BI169" s="33">
        <f>IF(BI$9="",0,IF(OR(BI$9="",DAY(EOMONTH(BI$9,0))=0),0,IF((BI115-((SUMIFS(условия!$204:$204,условия!$8:$8,"&lt;="&amp;BI$9,условия!$9:$9,"&gt;="&amp;BI$9)/DAY(EOMONTH(BI$9,0)))*2*BI115-BH169))&lt;0,BH169+BI115,IF((SUMIFS(условия!$204:$204,условия!$8:$8,"&lt;="&amp;BI$9,условия!$9:$9,"&gt;="&amp;BI$9)/DAY(EOMONTH(BI$9,0)))*2*BI115-BH169&lt;0,0,(SUMIFS(условия!$204:$204,условия!$8:$8,"&lt;="&amp;BI$9,условия!$9:$9,"&gt;="&amp;BI$9)/DAY(EOMONTH(BI$9,0)))*2*BI115-BH169))))</f>
        <v>85.1170517824321</v>
      </c>
      <c r="BJ169" s="33">
        <f>IF(BJ$9="",0,IF(OR(BJ$9="",DAY(EOMONTH(BJ$9,0))=0),0,IF((BJ115-((SUMIFS(условия!$204:$204,условия!$8:$8,"&lt;="&amp;BJ$9,условия!$9:$9,"&gt;="&amp;BJ$9)/DAY(EOMONTH(BJ$9,0)))*2*BJ115-BI169))&lt;0,BI169+BJ115,IF((SUMIFS(условия!$204:$204,условия!$8:$8,"&lt;="&amp;BJ$9,условия!$9:$9,"&gt;="&amp;BJ$9)/DAY(EOMONTH(BJ$9,0)))*2*BJ115-BI169&lt;0,0,(SUMIFS(условия!$204:$204,условия!$8:$8,"&lt;="&amp;BJ$9,условия!$9:$9,"&gt;="&amp;BJ$9)/DAY(EOMONTH(BJ$9,0)))*2*BJ115-BI169))))</f>
        <v>957.12269692659379</v>
      </c>
      <c r="BK169" s="33">
        <f>IF(BK$9="",0,IF(OR(BK$9="",DAY(EOMONTH(BK$9,0))=0),0,IF((BK115-((SUMIFS(условия!$204:$204,условия!$8:$8,"&lt;="&amp;BK$9,условия!$9:$9,"&gt;="&amp;BK$9)/DAY(EOMONTH(BK$9,0)))*2*BK115-BJ169))&lt;0,BJ169+BK115,IF((SUMIFS(условия!$204:$204,условия!$8:$8,"&lt;="&amp;BK$9,условия!$9:$9,"&gt;="&amp;BK$9)/DAY(EOMONTH(BK$9,0)))*2*BK115-BJ169&lt;0,0,(SUMIFS(условия!$204:$204,условия!$8:$8,"&lt;="&amp;BK$9,условия!$9:$9,"&gt;="&amp;BK$9)/DAY(EOMONTH(BK$9,0)))*2*BK115-BJ169))))</f>
        <v>263.1484174237537</v>
      </c>
      <c r="BL169" s="33">
        <f>IF(BL$9="",0,IF(OR(BL$9="",DAY(EOMONTH(BL$9,0))=0),0,IF((BL115-((SUMIFS(условия!$204:$204,условия!$8:$8,"&lt;="&amp;BL$9,условия!$9:$9,"&gt;="&amp;BL$9)/DAY(EOMONTH(BL$9,0)))*2*BL115-BK169))&lt;0,BK169+BL115,IF((SUMIFS(условия!$204:$204,условия!$8:$8,"&lt;="&amp;BL$9,условия!$9:$9,"&gt;="&amp;BL$9)/DAY(EOMONTH(BL$9,0)))*2*BL115-BK169&lt;0,0,(SUMIFS(условия!$204:$204,условия!$8:$8,"&lt;="&amp;BL$9,условия!$9:$9,"&gt;="&amp;BL$9)/DAY(EOMONTH(BL$9,0)))*2*BL115-BK169))))</f>
        <v>977.80706792359274</v>
      </c>
      <c r="BM169" s="33">
        <f>IF(BM$9="",0,IF(OR(BM$9="",DAY(EOMONTH(BM$9,0))=0),0,IF((BM115-((SUMIFS(условия!$204:$204,условия!$8:$8,"&lt;="&amp;BM$9,условия!$9:$9,"&gt;="&amp;BM$9)/DAY(EOMONTH(BM$9,0)))*2*BM115-BL169))&lt;0,BL169+BM115,IF((SUMIFS(условия!$204:$204,условия!$8:$8,"&lt;="&amp;BM$9,условия!$9:$9,"&gt;="&amp;BM$9)/DAY(EOMONTH(BM$9,0)))*2*BM115-BL169&lt;0,0,(SUMIFS(условия!$204:$204,условия!$8:$8,"&lt;="&amp;BM$9,условия!$9:$9,"&gt;="&amp;BM$9)/DAY(EOMONTH(BM$9,0)))*2*BM115-BL169))))</f>
        <v>395.42718497299416</v>
      </c>
      <c r="BN169" s="33">
        <f>IF(BN$9="",0,IF(OR(BN$9="",DAY(EOMONTH(BN$9,0))=0),0,IF((BN115-((SUMIFS(условия!$204:$204,условия!$8:$8,"&lt;="&amp;BN$9,условия!$9:$9,"&gt;="&amp;BN$9)/DAY(EOMONTH(BN$9,0)))*2*BN115-BM169))&lt;0,BM169+BN115,IF((SUMIFS(условия!$204:$204,условия!$8:$8,"&lt;="&amp;BN$9,условия!$9:$9,"&gt;="&amp;BN$9)/DAY(EOMONTH(BN$9,0)))*2*BN115-BM169&lt;0,0,(SUMIFS(условия!$204:$204,условия!$8:$8,"&lt;="&amp;BN$9,условия!$9:$9,"&gt;="&amp;BN$9)/DAY(EOMONTH(BN$9,0)))*2*BN115-BM169))))</f>
        <v>1083.5279508718384</v>
      </c>
      <c r="BO169" s="33">
        <f>IF(BO$9="",0,IF(OR(BO$9="",DAY(EOMONTH(BO$9,0))=0),0,IF((BO115-((SUMIFS(условия!$204:$204,условия!$8:$8,"&lt;="&amp;BO$9,условия!$9:$9,"&gt;="&amp;BO$9)/DAY(EOMONTH(BO$9,0)))*2*BO115-BN169))&lt;0,BN169+BO115,IF((SUMIFS(условия!$204:$204,условия!$8:$8,"&lt;="&amp;BO$9,условия!$9:$9,"&gt;="&amp;BO$9)/DAY(EOMONTH(BO$9,0)))*2*BO115-BN169&lt;0,0,(SUMIFS(условия!$204:$204,условия!$8:$8,"&lt;="&amp;BO$9,условия!$9:$9,"&gt;="&amp;BO$9)/DAY(EOMONTH(BO$9,0)))*2*BO115-BN169))))</f>
        <v>82.653963557700308</v>
      </c>
      <c r="BP169" s="33">
        <f>IF(BP$9="",0,IF(OR(BP$9="",DAY(EOMONTH(BP$9,0))=0),0,IF((BP115-((SUMIFS(условия!$204:$204,условия!$8:$8,"&lt;="&amp;BP$9,условия!$9:$9,"&gt;="&amp;BP$9)/DAY(EOMONTH(BP$9,0)))*2*BP115-BO169))&lt;0,BO169+BP115,IF((SUMIFS(условия!$204:$204,условия!$8:$8,"&lt;="&amp;BP$9,условия!$9:$9,"&gt;="&amp;BP$9)/DAY(EOMONTH(BP$9,0)))*2*BP115-BO169&lt;0,0,(SUMIFS(условия!$204:$204,условия!$8:$8,"&lt;="&amp;BP$9,условия!$9:$9,"&gt;="&amp;BP$9)/DAY(EOMONTH(BP$9,0)))*2*BP115-BO169))))</f>
        <v>1209.4578758313421</v>
      </c>
      <c r="BQ169" s="33">
        <f>IF(BQ$9="",0,IF(OR(BQ$9="",DAY(EOMONTH(BQ$9,0))=0),0,IF((BQ115-((SUMIFS(условия!$204:$204,условия!$8:$8,"&lt;="&amp;BQ$9,условия!$9:$9,"&gt;="&amp;BQ$9)/DAY(EOMONTH(BQ$9,0)))*2*BQ115-BP169))&lt;0,BP169+BQ115,IF((SUMIFS(условия!$204:$204,условия!$8:$8,"&lt;="&amp;BQ$9,условия!$9:$9,"&gt;="&amp;BQ$9)/DAY(EOMONTH(BQ$9,0)))*2*BQ115-BP169&lt;0,0,(SUMIFS(условия!$204:$204,условия!$8:$8,"&lt;="&amp;BQ$9,условия!$9:$9,"&gt;="&amp;BQ$9)/DAY(EOMONTH(BQ$9,0)))*2*BQ115-BP169))))</f>
        <v>487.6230323306329</v>
      </c>
      <c r="BR169" s="33">
        <f>IF(BR$9="",0,IF(OR(BR$9="",DAY(EOMONTH(BR$9,0))=0),0,IF((BR115-((SUMIFS(условия!$204:$204,условия!$8:$8,"&lt;="&amp;BR$9,условия!$9:$9,"&gt;="&amp;BR$9)/DAY(EOMONTH(BR$9,0)))*2*BR115-BQ169))&lt;0,BQ169+BR115,IF((SUMIFS(условия!$204:$204,условия!$8:$8,"&lt;="&amp;BR$9,условия!$9:$9,"&gt;="&amp;BR$9)/DAY(EOMONTH(BR$9,0)))*2*BR115-BQ169&lt;0,0,(SUMIFS(условия!$204:$204,условия!$8:$8,"&lt;="&amp;BR$9,условия!$9:$9,"&gt;="&amp;BR$9)/DAY(EOMONTH(BR$9,0)))*2*BR115-BQ169))))</f>
        <v>844.4155518453033</v>
      </c>
      <c r="BS169" s="33">
        <f>IF(BS$9="",0,IF(OR(BS$9="",DAY(EOMONTH(BS$9,0))=0),0,IF((BS115-((SUMIFS(условия!$204:$204,условия!$8:$8,"&lt;="&amp;BS$9,условия!$9:$9,"&gt;="&amp;BS$9)/DAY(EOMONTH(BS$9,0)))*2*BS115-BR169))&lt;0,BR169+BS115,IF((SUMIFS(условия!$204:$204,условия!$8:$8,"&lt;="&amp;BS$9,условия!$9:$9,"&gt;="&amp;BS$9)/DAY(EOMONTH(BS$9,0)))*2*BS115-BR169&lt;0,0,(SUMIFS(условия!$204:$204,условия!$8:$8,"&lt;="&amp;BS$9,условия!$9:$9,"&gt;="&amp;BS$9)/DAY(EOMONTH(BS$9,0)))*2*BS115-BR169))))</f>
        <v>688.96464709307861</v>
      </c>
      <c r="BT169" s="33">
        <f>IF(BT$9="",0,IF(OR(BT$9="",DAY(EOMONTH(BT$9,0))=0),0,IF((BT115-((SUMIFS(условия!$204:$204,условия!$8:$8,"&lt;="&amp;BT$9,условия!$9:$9,"&gt;="&amp;BT$9)/DAY(EOMONTH(BT$9,0)))*2*BT115-BS169))&lt;0,BS169+BT115,IF((SUMIFS(условия!$204:$204,условия!$8:$8,"&lt;="&amp;BT$9,условия!$9:$9,"&gt;="&amp;BT$9)/DAY(EOMONTH(BT$9,0)))*2*BT115-BS169&lt;0,0,(SUMIFS(условия!$204:$204,условия!$8:$8,"&lt;="&amp;BT$9,условия!$9:$9,"&gt;="&amp;BT$9)/DAY(EOMONTH(BT$9,0)))*2*BT115-BS169))))</f>
        <v>463.55688800450093</v>
      </c>
      <c r="BU169" s="33">
        <f>IF(BU$9="",0,IF(OR(BU$9="",DAY(EOMONTH(BU$9,0))=0),0,IF((BU115-((SUMIFS(условия!$204:$204,условия!$8:$8,"&lt;="&amp;BU$9,условия!$9:$9,"&gt;="&amp;BU$9)/DAY(EOMONTH(BU$9,0)))*2*BU115-BT169))&lt;0,BT169+BU115,IF((SUMIFS(условия!$204:$204,условия!$8:$8,"&lt;="&amp;BU$9,условия!$9:$9,"&gt;="&amp;BU$9)/DAY(EOMONTH(BU$9,0)))*2*BU115-BT169&lt;0,0,(SUMIFS(условия!$204:$204,условия!$8:$8,"&lt;="&amp;BU$9,условия!$9:$9,"&gt;="&amp;BU$9)/DAY(EOMONTH(BU$9,0)))*2*BU115-BT169))))</f>
        <v>953.57909912041987</v>
      </c>
      <c r="BV169" s="33">
        <f>IF(BV$9="",0,IF(OR(BV$9="",DAY(EOMONTH(BV$9,0))=0),0,IF((BV115-((SUMIFS(условия!$204:$204,условия!$8:$8,"&lt;="&amp;BV$9,условия!$9:$9,"&gt;="&amp;BV$9)/DAY(EOMONTH(BV$9,0)))*2*BV115-BU169))&lt;0,BU169+BV115,IF((SUMIFS(условия!$204:$204,условия!$8:$8,"&lt;="&amp;BV$9,условия!$9:$9,"&gt;="&amp;BV$9)/DAY(EOMONTH(BV$9,0)))*2*BV115-BU169&lt;0,0,(SUMIFS(условия!$204:$204,условия!$8:$8,"&lt;="&amp;BV$9,условия!$9:$9,"&gt;="&amp;BV$9)/DAY(EOMONTH(BV$9,0)))*2*BV115-BU169))))</f>
        <v>174.56480337517337</v>
      </c>
      <c r="BW169" s="33">
        <f>IF(BW$9="",0,IF(OR(BW$9="",DAY(EOMONTH(BW$9,0))=0),0,IF((BW115-((SUMIFS(условия!$204:$204,условия!$8:$8,"&lt;="&amp;BW$9,условия!$9:$9,"&gt;="&amp;BW$9)/DAY(EOMONTH(BW$9,0)))*2*BW115-BV169))&lt;0,BV169+BW115,IF((SUMIFS(условия!$204:$204,условия!$8:$8,"&lt;="&amp;BW$9,условия!$9:$9,"&gt;="&amp;BW$9)/DAY(EOMONTH(BW$9,0)))*2*BW115-BV169&lt;0,0,(SUMIFS(условия!$204:$204,условия!$8:$8,"&lt;="&amp;BW$9,условия!$9:$9,"&gt;="&amp;BW$9)/DAY(EOMONTH(BW$9,0)))*2*BW115-BV169))))</f>
        <v>1388.539228947632</v>
      </c>
      <c r="BX169" s="33">
        <f>IF(BX$9="",0,IF(OR(BX$9="",DAY(EOMONTH(BX$9,0))=0),0,IF((BX115-((SUMIFS(условия!$204:$204,условия!$8:$8,"&lt;="&amp;BX$9,условия!$9:$9,"&gt;="&amp;BX$9)/DAY(EOMONTH(BX$9,0)))*2*BX115-BW169))&lt;0,BW169+BX115,IF((SUMIFS(условия!$204:$204,условия!$8:$8,"&lt;="&amp;BX$9,условия!$9:$9,"&gt;="&amp;BX$9)/DAY(EOMONTH(BX$9,0)))*2*BX115-BW169&lt;0,0,(SUMIFS(условия!$204:$204,условия!$8:$8,"&lt;="&amp;BX$9,условия!$9:$9,"&gt;="&amp;BX$9)/DAY(EOMONTH(BX$9,0)))*2*BX115-BW169))))</f>
        <v>54.652436320949619</v>
      </c>
      <c r="BY169" s="33">
        <f>IF(BY$9="",0,IF(OR(BY$9="",DAY(EOMONTH(BY$9,0))=0),0,IF((BY115-((SUMIFS(условия!$204:$204,условия!$8:$8,"&lt;="&amp;BY$9,условия!$9:$9,"&gt;="&amp;BY$9)/DAY(EOMONTH(BY$9,0)))*2*BY115-BX169))&lt;0,BX169+BY115,IF((SUMIFS(условия!$204:$204,условия!$8:$8,"&lt;="&amp;BY$9,условия!$9:$9,"&gt;="&amp;BY$9)/DAY(EOMONTH(BY$9,0)))*2*BY115-BX169&lt;0,0,(SUMIFS(условия!$204:$204,условия!$8:$8,"&lt;="&amp;BY$9,условия!$9:$9,"&gt;="&amp;BY$9)/DAY(EOMONTH(BY$9,0)))*2*BY115-BX169))))</f>
        <v>2311.1529011886109</v>
      </c>
      <c r="BZ169" s="33">
        <f>IF(BZ$9="",0,IF(OR(BZ$9="",DAY(EOMONTH(BZ$9,0))=0),0,IF((BZ115-((SUMIFS(условия!$204:$204,условия!$8:$8,"&lt;="&amp;BZ$9,условия!$9:$9,"&gt;="&amp;BZ$9)/DAY(EOMONTH(BZ$9,0)))*2*BZ115-BY169))&lt;0,BY169+BZ115,IF((SUMIFS(условия!$204:$204,условия!$8:$8,"&lt;="&amp;BZ$9,условия!$9:$9,"&gt;="&amp;BZ$9)/DAY(EOMONTH(BZ$9,0)))*2*BZ115-BY169&lt;0,0,(SUMIFS(условия!$204:$204,условия!$8:$8,"&lt;="&amp;BZ$9,условия!$9:$9,"&gt;="&amp;BZ$9)/DAY(EOMONTH(BZ$9,0)))*2*BZ115-BY169))))</f>
        <v>0</v>
      </c>
      <c r="CA169" s="33">
        <f>IF(CA$9="",0,IF(OR(CA$9="",DAY(EOMONTH(CA$9,0))=0),0,IF((CA115-((SUMIFS(условия!$204:$204,условия!$8:$8,"&lt;="&amp;CA$9,условия!$9:$9,"&gt;="&amp;CA$9)/DAY(EOMONTH(CA$9,0)))*2*CA115-BZ169))&lt;0,BZ169+CA115,IF((SUMIFS(условия!$204:$204,условия!$8:$8,"&lt;="&amp;CA$9,условия!$9:$9,"&gt;="&amp;CA$9)/DAY(EOMONTH(CA$9,0)))*2*CA115-BZ169&lt;0,0,(SUMIFS(условия!$204:$204,условия!$8:$8,"&lt;="&amp;CA$9,условия!$9:$9,"&gt;="&amp;CA$9)/DAY(EOMONTH(CA$9,0)))*2*CA115-BZ169))))</f>
        <v>1930.2691327963851</v>
      </c>
      <c r="CB169" s="33">
        <f>IF(CB$9="",0,IF(OR(CB$9="",DAY(EOMONTH(CB$9,0))=0),0,IF((CB115-((SUMIFS(условия!$204:$204,условия!$8:$8,"&lt;="&amp;CB$9,условия!$9:$9,"&gt;="&amp;CB$9)/DAY(EOMONTH(CB$9,0)))*2*CB115-CA169))&lt;0,CA169+CB115,IF((SUMIFS(условия!$204:$204,условия!$8:$8,"&lt;="&amp;CB$9,условия!$9:$9,"&gt;="&amp;CB$9)/DAY(EOMONTH(CB$9,0)))*2*CB115-CA169&lt;0,0,(SUMIFS(условия!$204:$204,условия!$8:$8,"&lt;="&amp;CB$9,условия!$9:$9,"&gt;="&amp;CB$9)/DAY(EOMONTH(CB$9,0)))*2*CB115-CA169))))</f>
        <v>0</v>
      </c>
      <c r="CC169" s="33">
        <f>IF(CC$9="",0,IF(OR(CC$9="",DAY(EOMONTH(CC$9,0))=0),0,IF((CC115-((SUMIFS(условия!$204:$204,условия!$8:$8,"&lt;="&amp;CC$9,условия!$9:$9,"&gt;="&amp;CC$9)/DAY(EOMONTH(CC$9,0)))*2*CC115-CB169))&lt;0,CB169+CC115,IF((SUMIFS(условия!$204:$204,условия!$8:$8,"&lt;="&amp;CC$9,условия!$9:$9,"&gt;="&amp;CC$9)/DAY(EOMONTH(CC$9,0)))*2*CC115-CB169&lt;0,0,(SUMIFS(условия!$204:$204,условия!$8:$8,"&lt;="&amp;CC$9,условия!$9:$9,"&gt;="&amp;CC$9)/DAY(EOMONTH(CC$9,0)))*2*CC115-CB169))))</f>
        <v>2594.6035104081702</v>
      </c>
      <c r="CD169" s="33">
        <f>IF(CD$9="",0,IF(OR(CD$9="",DAY(EOMONTH(CD$9,0))=0),0,IF((CD115-((SUMIFS(условия!$204:$204,условия!$8:$8,"&lt;="&amp;CD$9,условия!$9:$9,"&gt;="&amp;CD$9)/DAY(EOMONTH(CD$9,0)))*2*CD115-CC169))&lt;0,CC169+CD115,IF((SUMIFS(условия!$204:$204,условия!$8:$8,"&lt;="&amp;CD$9,условия!$9:$9,"&gt;="&amp;CD$9)/DAY(EOMONTH(CD$9,0)))*2*CD115-CC169&lt;0,0,(SUMIFS(условия!$204:$204,условия!$8:$8,"&lt;="&amp;CD$9,условия!$9:$9,"&gt;="&amp;CD$9)/DAY(EOMONTH(CD$9,0)))*2*CD115-CC169))))</f>
        <v>0</v>
      </c>
      <c r="CE169" s="33">
        <f>IF(CE$9="",0,IF(OR(CE$9="",DAY(EOMONTH(CE$9,0))=0),0,IF((CE115-((SUMIFS(условия!$204:$204,условия!$8:$8,"&lt;="&amp;CE$9,условия!$9:$9,"&gt;="&amp;CE$9)/DAY(EOMONTH(CE$9,0)))*2*CE115-CD169))&lt;0,CD169+CE115,IF((SUMIFS(условия!$204:$204,условия!$8:$8,"&lt;="&amp;CE$9,условия!$9:$9,"&gt;="&amp;CE$9)/DAY(EOMONTH(CE$9,0)))*2*CE115-CD169&lt;0,0,(SUMIFS(условия!$204:$204,условия!$8:$8,"&lt;="&amp;CE$9,условия!$9:$9,"&gt;="&amp;CE$9)/DAY(EOMONTH(CE$9,0)))*2*CE115-CD169))))</f>
        <v>2192.4840299716038</v>
      </c>
      <c r="CF169" s="33">
        <f>IF(CF$9="",0,IF(OR(CF$9="",DAY(EOMONTH(CF$9,0))=0),0,IF((CF115-((SUMIFS(условия!$204:$204,условия!$8:$8,"&lt;="&amp;CF$9,условия!$9:$9,"&gt;="&amp;CF$9)/DAY(EOMONTH(CF$9,0)))*2*CF115-CE169))&lt;0,CE169+CF115,IF((SUMIFS(условия!$204:$204,условия!$8:$8,"&lt;="&amp;CF$9,условия!$9:$9,"&gt;="&amp;CF$9)/DAY(EOMONTH(CF$9,0)))*2*CF115-CE169&lt;0,0,(SUMIFS(условия!$204:$204,условия!$8:$8,"&lt;="&amp;CF$9,условия!$9:$9,"&gt;="&amp;CF$9)/DAY(EOMONTH(CF$9,0)))*2*CF115-CE169))))</f>
        <v>0</v>
      </c>
      <c r="CG169" s="33">
        <f>IF(CG$9="",0,IF(OR(CG$9="",DAY(EOMONTH(CG$9,0))=0),0,IF((CG115-((SUMIFS(условия!$204:$204,условия!$8:$8,"&lt;="&amp;CG$9,условия!$9:$9,"&gt;="&amp;CG$9)/DAY(EOMONTH(CG$9,0)))*2*CG115-CF169))&lt;0,CF169+CG115,IF((SUMIFS(условия!$204:$204,условия!$8:$8,"&lt;="&amp;CG$9,условия!$9:$9,"&gt;="&amp;CG$9)/DAY(EOMONTH(CG$9,0)))*2*CG115-CF169&lt;0,0,(SUMIFS(условия!$204:$204,условия!$8:$8,"&lt;="&amp;CG$9,условия!$9:$9,"&gt;="&amp;CG$9)/DAY(EOMONTH(CG$9,0)))*2*CG115-CF169))))</f>
        <v>1839.3779026732607</v>
      </c>
      <c r="CH169" s="33">
        <f>IF(CH$9="",0,IF(OR(CH$9="",DAY(EOMONTH(CH$9,0))=0),0,IF((CH115-((SUMIFS(условия!$204:$204,условия!$8:$8,"&lt;="&amp;CH$9,условия!$9:$9,"&gt;="&amp;CH$9)/DAY(EOMONTH(CH$9,0)))*2*CH115-CG169))&lt;0,CG169+CH115,IF((SUMIFS(условия!$204:$204,условия!$8:$8,"&lt;="&amp;CH$9,условия!$9:$9,"&gt;="&amp;CH$9)/DAY(EOMONTH(CH$9,0)))*2*CH115-CG169&lt;0,0,(SUMIFS(условия!$204:$204,условия!$8:$8,"&lt;="&amp;CH$9,условия!$9:$9,"&gt;="&amp;CH$9)/DAY(EOMONTH(CH$9,0)))*2*CH115-CG169))))</f>
        <v>0</v>
      </c>
      <c r="CI169" s="33">
        <f>IF(CI$9="",0,IF(OR(CI$9="",DAY(EOMONTH(CI$9,0))=0),0,IF((CI115-((SUMIFS(условия!$204:$204,условия!$8:$8,"&lt;="&amp;CI$9,условия!$9:$9,"&gt;="&amp;CI$9)/DAY(EOMONTH(CI$9,0)))*2*CI115-CH169))&lt;0,CH169+CI115,IF((SUMIFS(условия!$204:$204,условия!$8:$8,"&lt;="&amp;CI$9,условия!$9:$9,"&gt;="&amp;CI$9)/DAY(EOMONTH(CI$9,0)))*2*CI115-CH169&lt;0,0,(SUMIFS(условия!$204:$204,условия!$8:$8,"&lt;="&amp;CI$9,условия!$9:$9,"&gt;="&amp;CI$9)/DAY(EOMONTH(CI$9,0)))*2*CI115-CH169))))</f>
        <v>2080.6155427005865</v>
      </c>
      <c r="CJ169" s="33">
        <f>IF(CJ$9="",0,IF(OR(CJ$9="",DAY(EOMONTH(CJ$9,0))=0),0,IF((CJ115-((SUMIFS(условия!$204:$204,условия!$8:$8,"&lt;="&amp;CJ$9,условия!$9:$9,"&gt;="&amp;CJ$9)/DAY(EOMONTH(CJ$9,0)))*2*CJ115-CI169))&lt;0,CI169+CJ115,IF((SUMIFS(условия!$204:$204,условия!$8:$8,"&lt;="&amp;CJ$9,условия!$9:$9,"&gt;="&amp;CJ$9)/DAY(EOMONTH(CJ$9,0)))*2*CJ115-CI169&lt;0,0,(SUMIFS(условия!$204:$204,условия!$8:$8,"&lt;="&amp;CJ$9,условия!$9:$9,"&gt;="&amp;CJ$9)/DAY(EOMONTH(CJ$9,0)))*2*CJ115-CI169))))</f>
        <v>207.76880649142277</v>
      </c>
      <c r="CK169" s="33">
        <f>IF(CK$9="",0,IF(OR(CK$9="",DAY(EOMONTH(CK$9,0))=0),0,IF((CK115-((SUMIFS(условия!$204:$204,условия!$8:$8,"&lt;="&amp;CK$9,условия!$9:$9,"&gt;="&amp;CK$9)/DAY(EOMONTH(CK$9,0)))*2*CK115-CJ169))&lt;0,CJ169+CK115,IF((SUMIFS(условия!$204:$204,условия!$8:$8,"&lt;="&amp;CK$9,условия!$9:$9,"&gt;="&amp;CK$9)/DAY(EOMONTH(CK$9,0)))*2*CK115-CJ169&lt;0,0,(SUMIFS(условия!$204:$204,условия!$8:$8,"&lt;="&amp;CK$9,условия!$9:$9,"&gt;="&amp;CK$9)/DAY(EOMONTH(CK$9,0)))*2*CK115-CJ169))))</f>
        <v>2273.2781409464028</v>
      </c>
      <c r="CL169" s="33">
        <f>IF(CL$9="",0,IF(OR(CL$9="",DAY(EOMONTH(CL$9,0))=0),0,IF((CL115-((SUMIFS(условия!$204:$204,условия!$8:$8,"&lt;="&amp;CL$9,условия!$9:$9,"&gt;="&amp;CL$9)/DAY(EOMONTH(CL$9,0)))*2*CL115-CK169))&lt;0,CK169+CL115,IF((SUMIFS(условия!$204:$204,условия!$8:$8,"&lt;="&amp;CL$9,условия!$9:$9,"&gt;="&amp;CL$9)/DAY(EOMONTH(CL$9,0)))*2*CL115-CK169&lt;0,0,(SUMIFS(условия!$204:$204,условия!$8:$8,"&lt;="&amp;CL$9,условия!$9:$9,"&gt;="&amp;CL$9)/DAY(EOMONTH(CL$9,0)))*2*CL115-CK169))))</f>
        <v>666.11093608524607</v>
      </c>
      <c r="CM169" s="33">
        <f>IF(CM$9="",0,IF(OR(CM$9="",DAY(EOMONTH(CM$9,0))=0),0,IF((CM115-((SUMIFS(условия!$204:$204,условия!$8:$8,"&lt;="&amp;CM$9,условия!$9:$9,"&gt;="&amp;CM$9)/DAY(EOMONTH(CM$9,0)))*2*CM115-CL169))&lt;0,CL169+CM115,IF((SUMIFS(условия!$204:$204,условия!$8:$8,"&lt;="&amp;CM$9,условия!$9:$9,"&gt;="&amp;CM$9)/DAY(EOMONTH(CM$9,0)))*2*CM115-CL169&lt;0,0,(SUMIFS(условия!$204:$204,условия!$8:$8,"&lt;="&amp;CM$9,условия!$9:$9,"&gt;="&amp;CM$9)/DAY(EOMONTH(CM$9,0)))*2*CM115-CL169))))</f>
        <v>1425.1436897533072</v>
      </c>
      <c r="CN169" s="33">
        <f>IF(CN$9="",0,IF(OR(CN$9="",DAY(EOMONTH(CN$9,0))=0),0,IF((CN115-((SUMIFS(условия!$204:$204,условия!$8:$8,"&lt;="&amp;CN$9,условия!$9:$9,"&gt;="&amp;CN$9)/DAY(EOMONTH(CN$9,0)))*2*CN115-CM169))&lt;0,CM169+CN115,IF((SUMIFS(условия!$204:$204,условия!$8:$8,"&lt;="&amp;CN$9,условия!$9:$9,"&gt;="&amp;CN$9)/DAY(EOMONTH(CN$9,0)))*2*CN115-CM169&lt;0,0,(SUMIFS(условия!$204:$204,условия!$8:$8,"&lt;="&amp;CN$9,условия!$9:$9,"&gt;="&amp;CN$9)/DAY(EOMONTH(CN$9,0)))*2*CN115-CM169))))</f>
        <v>519.28587655639421</v>
      </c>
      <c r="CO169" s="33">
        <f>IF(CO$9="",0,IF(OR(CO$9="",DAY(EOMONTH(CO$9,0))=0),0,IF((CO115-((SUMIFS(условия!$204:$204,условия!$8:$8,"&lt;="&amp;CO$9,условия!$9:$9,"&gt;="&amp;CO$9)/DAY(EOMONTH(CO$9,0)))*2*CO115-CN169))&lt;0,CN169+CO115,IF((SUMIFS(условия!$204:$204,условия!$8:$8,"&lt;="&amp;CO$9,условия!$9:$9,"&gt;="&amp;CO$9)/DAY(EOMONTH(CO$9,0)))*2*CO115-CN169&lt;0,0,(SUMIFS(условия!$204:$204,условия!$8:$8,"&lt;="&amp;CO$9,условия!$9:$9,"&gt;="&amp;CO$9)/DAY(EOMONTH(CO$9,0)))*2*CO115-CN169))))</f>
        <v>2100.8779209121999</v>
      </c>
      <c r="CP169" s="33">
        <f>IF(CP$9="",0,IF(OR(CP$9="",DAY(EOMONTH(CP$9,0))=0),0,IF((CP115-((SUMIFS(условия!$204:$204,условия!$8:$8,"&lt;="&amp;CP$9,условия!$9:$9,"&gt;="&amp;CP$9)/DAY(EOMONTH(CP$9,0)))*2*CP115-CO169))&lt;0,CO169+CP115,IF((SUMIFS(условия!$204:$204,условия!$8:$8,"&lt;="&amp;CP$9,условия!$9:$9,"&gt;="&amp;CP$9)/DAY(EOMONTH(CP$9,0)))*2*CP115-CO169&lt;0,0,(SUMIFS(условия!$204:$204,условия!$8:$8,"&lt;="&amp;CP$9,условия!$9:$9,"&gt;="&amp;CP$9)/DAY(EOMONTH(CP$9,0)))*2*CP115-CO169))))</f>
        <v>0</v>
      </c>
      <c r="CQ169" s="33">
        <f>IF(CQ$9="",0,IF(OR(CQ$9="",DAY(EOMONTH(CQ$9,0))=0),0,IF((CQ115-((SUMIFS(условия!$204:$204,условия!$8:$8,"&lt;="&amp;CQ$9,условия!$9:$9,"&gt;="&amp;CQ$9)/DAY(EOMONTH(CQ$9,0)))*2*CQ115-CP169))&lt;0,CP169+CQ115,IF((SUMIFS(условия!$204:$204,условия!$8:$8,"&lt;="&amp;CQ$9,условия!$9:$9,"&gt;="&amp;CQ$9)/DAY(EOMONTH(CQ$9,0)))*2*CQ115-CP169&lt;0,0,(SUMIFS(условия!$204:$204,условия!$8:$8,"&lt;="&amp;CQ$9,условия!$9:$9,"&gt;="&amp;CQ$9)/DAY(EOMONTH(CQ$9,0)))*2*CQ115-CP169))))</f>
        <v>2665.3463568531074</v>
      </c>
      <c r="CR169" s="33">
        <f>IF(CR$9="",0,IF(OR(CR$9="",DAY(EOMONTH(CR$9,0))=0),0,IF((CR115-((SUMIFS(условия!$204:$204,условия!$8:$8,"&lt;="&amp;CR$9,условия!$9:$9,"&gt;="&amp;CR$9)/DAY(EOMONTH(CR$9,0)))*2*CR115-CQ169))&lt;0,CQ169+CR115,IF((SUMIFS(условия!$204:$204,условия!$8:$8,"&lt;="&amp;CR$9,условия!$9:$9,"&gt;="&amp;CR$9)/DAY(EOMONTH(CR$9,0)))*2*CR115-CQ169&lt;0,0,(SUMIFS(условия!$204:$204,условия!$8:$8,"&lt;="&amp;CR$9,условия!$9:$9,"&gt;="&amp;CR$9)/DAY(EOMONTH(CR$9,0)))*2*CR115-CQ169))))</f>
        <v>0</v>
      </c>
      <c r="CS169" s="33">
        <f>IF(CS$9="",0,IF(OR(CS$9="",DAY(EOMONTH(CS$9,0))=0),0,IF((CS115-((SUMIFS(условия!$204:$204,условия!$8:$8,"&lt;="&amp;CS$9,условия!$9:$9,"&gt;="&amp;CS$9)/DAY(EOMONTH(CS$9,0)))*2*CS115-CR169))&lt;0,CR169+CS115,IF((SUMIFS(условия!$204:$204,условия!$8:$8,"&lt;="&amp;CS$9,условия!$9:$9,"&gt;="&amp;CS$9)/DAY(EOMONTH(CS$9,0)))*2*CS115-CR169&lt;0,0,(SUMIFS(условия!$204:$204,условия!$8:$8,"&lt;="&amp;CS$9,условия!$9:$9,"&gt;="&amp;CS$9)/DAY(EOMONTH(CS$9,0)))*2*CS115-CR169))))</f>
        <v>2077.2010472884222</v>
      </c>
      <c r="CT169" s="33">
        <f>IF(CT$9="",0,IF(OR(CT$9="",DAY(EOMONTH(CT$9,0))=0),0,IF((CT115-((SUMIFS(условия!$204:$204,условия!$8:$8,"&lt;="&amp;CT$9,условия!$9:$9,"&gt;="&amp;CT$9)/DAY(EOMONTH(CT$9,0)))*2*CT115-CS169))&lt;0,CS169+CT115,IF((SUMIFS(условия!$204:$204,условия!$8:$8,"&lt;="&amp;CT$9,условия!$9:$9,"&gt;="&amp;CT$9)/DAY(EOMONTH(CT$9,0)))*2*CT115-CS169&lt;0,0,(SUMIFS(условия!$204:$204,условия!$8:$8,"&lt;="&amp;CT$9,условия!$9:$9,"&gt;="&amp;CT$9)/DAY(EOMONTH(CT$9,0)))*2*CT115-CS169))))</f>
        <v>0</v>
      </c>
      <c r="CU169" s="33">
        <f>IF(CU$9="",0,IF(OR(CU$9="",DAY(EOMONTH(CU$9,0))=0),0,IF((CU115-((SUMIFS(условия!$204:$204,условия!$8:$8,"&lt;="&amp;CU$9,условия!$9:$9,"&gt;="&amp;CU$9)/DAY(EOMONTH(CU$9,0)))*2*CU115-CT169))&lt;0,CT169+CU115,IF((SUMIFS(условия!$204:$204,условия!$8:$8,"&lt;="&amp;CU$9,условия!$9:$9,"&gt;="&amp;CU$9)/DAY(EOMONTH(CU$9,0)))*2*CU115-CT169&lt;0,0,(SUMIFS(условия!$204:$204,условия!$8:$8,"&lt;="&amp;CU$9,условия!$9:$9,"&gt;="&amp;CU$9)/DAY(EOMONTH(CU$9,0)))*2*CU115-CT169))))</f>
        <v>2427.2782830643705</v>
      </c>
      <c r="CV169" s="33">
        <f>IF(CV$9="",0,IF(OR(CV$9="",DAY(EOMONTH(CV$9,0))=0),0,IF((CV115-((SUMIFS(условия!$204:$204,условия!$8:$8,"&lt;="&amp;CV$9,условия!$9:$9,"&gt;="&amp;CV$9)/DAY(EOMONTH(CV$9,0)))*2*CV115-CU169))&lt;0,CU169+CV115,IF((SUMIFS(условия!$204:$204,условия!$8:$8,"&lt;="&amp;CV$9,условия!$9:$9,"&gt;="&amp;CV$9)/DAY(EOMONTH(CV$9,0)))*2*CV115-CU169&lt;0,0,(SUMIFS(условия!$204:$204,условия!$8:$8,"&lt;="&amp;CV$9,условия!$9:$9,"&gt;="&amp;CV$9)/DAY(EOMONTH(CV$9,0)))*2*CV115-CU169))))</f>
        <v>0</v>
      </c>
      <c r="CW169" s="33">
        <f>IF(CW$9="",0,IF(OR(CW$9="",DAY(EOMONTH(CW$9,0))=0),0,IF((CW115-((SUMIFS(условия!$204:$204,условия!$8:$8,"&lt;="&amp;CW$9,условия!$9:$9,"&gt;="&amp;CW$9)/DAY(EOMONTH(CW$9,0)))*2*CW115-CV169))&lt;0,CV169+CW115,IF((SUMIFS(условия!$204:$204,условия!$8:$8,"&lt;="&amp;CW$9,условия!$9:$9,"&gt;="&amp;CW$9)/DAY(EOMONTH(CW$9,0)))*2*CW115-CV169&lt;0,0,(SUMIFS(условия!$204:$204,условия!$8:$8,"&lt;="&amp;CW$9,условия!$9:$9,"&gt;="&amp;CW$9)/DAY(EOMONTH(CW$9,0)))*2*CW115-CV169))))</f>
        <v>3217.8809408051079</v>
      </c>
      <c r="CX169" s="33">
        <f>IF(CX$9="",0,IF(OR(CX$9="",DAY(EOMONTH(CX$9,0))=0),0,IF((CX115-((SUMIFS(условия!$204:$204,условия!$8:$8,"&lt;="&amp;CX$9,условия!$9:$9,"&gt;="&amp;CX$9)/DAY(EOMONTH(CX$9,0)))*2*CX115-CW169))&lt;0,CW169+CX115,IF((SUMIFS(условия!$204:$204,условия!$8:$8,"&lt;="&amp;CX$9,условия!$9:$9,"&gt;="&amp;CX$9)/DAY(EOMONTH(CX$9,0)))*2*CX115-CW169&lt;0,0,(SUMIFS(условия!$204:$204,условия!$8:$8,"&lt;="&amp;CX$9,условия!$9:$9,"&gt;="&amp;CX$9)/DAY(EOMONTH(CX$9,0)))*2*CX115-CW169))))</f>
        <v>0</v>
      </c>
      <c r="CY169" s="33">
        <f>IF(CY$9="",0,IF(OR(CY$9="",DAY(EOMONTH(CY$9,0))=0),0,IF((CY115-((SUMIFS(условия!$204:$204,условия!$8:$8,"&lt;="&amp;CY$9,условия!$9:$9,"&gt;="&amp;CY$9)/DAY(EOMONTH(CY$9,0)))*2*CY115-CX169))&lt;0,CX169+CY115,IF((SUMIFS(условия!$204:$204,условия!$8:$8,"&lt;="&amp;CY$9,условия!$9:$9,"&gt;="&amp;CY$9)/DAY(EOMONTH(CY$9,0)))*2*CY115-CX169&lt;0,0,(SUMIFS(условия!$204:$204,условия!$8:$8,"&lt;="&amp;CY$9,условия!$9:$9,"&gt;="&amp;CY$9)/DAY(EOMONTH(CY$9,0)))*2*CY115-CX169))))</f>
        <v>2420.1919581835141</v>
      </c>
      <c r="CZ169" s="33">
        <f>IF(CZ$9="",0,IF(OR(CZ$9="",DAY(EOMONTH(CZ$9,0))=0),0,IF((CZ115-((SUMIFS(условия!$204:$204,условия!$8:$8,"&lt;="&amp;CZ$9,условия!$9:$9,"&gt;="&amp;CZ$9)/DAY(EOMONTH(CZ$9,0)))*2*CZ115-CY169))&lt;0,CY169+CZ115,IF((SUMIFS(условия!$204:$204,условия!$8:$8,"&lt;="&amp;CZ$9,условия!$9:$9,"&gt;="&amp;CZ$9)/DAY(EOMONTH(CZ$9,0)))*2*CZ115-CY169&lt;0,0,(SUMIFS(условия!$204:$204,условия!$8:$8,"&lt;="&amp;CZ$9,условия!$9:$9,"&gt;="&amp;CZ$9)/DAY(EOMONTH(CZ$9,0)))*2*CZ115-CY169))))</f>
        <v>0</v>
      </c>
      <c r="DA169" s="33">
        <f>IF(DA$9="",0,IF(OR(DA$9="",DAY(EOMONTH(DA$9,0))=0),0,IF((DA115-((SUMIFS(условия!$204:$204,условия!$8:$8,"&lt;="&amp;DA$9,условия!$9:$9,"&gt;="&amp;DA$9)/DAY(EOMONTH(DA$9,0)))*2*DA115-CZ169))&lt;0,CZ169+DA115,IF((SUMIFS(условия!$204:$204,условия!$8:$8,"&lt;="&amp;DA$9,условия!$9:$9,"&gt;="&amp;DA$9)/DAY(EOMONTH(DA$9,0)))*2*DA115-CZ169&lt;0,0,(SUMIFS(условия!$204:$204,условия!$8:$8,"&lt;="&amp;DA$9,условия!$9:$9,"&gt;="&amp;DA$9)/DAY(EOMONTH(DA$9,0)))*2*DA115-CZ169))))</f>
        <v>3103.234384407469</v>
      </c>
      <c r="DB169" s="33">
        <f>IF(DB$9="",0,IF(OR(DB$9="",DAY(EOMONTH(DB$9,0))=0),0,IF((DB115-((SUMIFS(условия!$204:$204,условия!$8:$8,"&lt;="&amp;DB$9,условия!$9:$9,"&gt;="&amp;DB$9)/DAY(EOMONTH(DB$9,0)))*2*DB115-DA169))&lt;0,DA169+DB115,IF((SUMIFS(условия!$204:$204,условия!$8:$8,"&lt;="&amp;DB$9,условия!$9:$9,"&gt;="&amp;DB$9)/DAY(EOMONTH(DB$9,0)))*2*DB115-DA169&lt;0,0,(SUMIFS(условия!$204:$204,условия!$8:$8,"&lt;="&amp;DB$9,условия!$9:$9,"&gt;="&amp;DB$9)/DAY(EOMONTH(DB$9,0)))*2*DB115-DA169))))</f>
        <v>0</v>
      </c>
      <c r="DC169" s="33">
        <f>IF(DC$9="",0,IF(OR(DC$9="",DAY(EOMONTH(DC$9,0))=0),0,IF((DC115-((SUMIFS(условия!$204:$204,условия!$8:$8,"&lt;="&amp;DC$9,условия!$9:$9,"&gt;="&amp;DC$9)/DAY(EOMONTH(DC$9,0)))*2*DC115-DB169))&lt;0,DB169+DC115,IF((SUMIFS(условия!$204:$204,условия!$8:$8,"&lt;="&amp;DC$9,условия!$9:$9,"&gt;="&amp;DC$9)/DAY(EOMONTH(DC$9,0)))*2*DC115-DB169&lt;0,0,(SUMIFS(условия!$204:$204,условия!$8:$8,"&lt;="&amp;DC$9,условия!$9:$9,"&gt;="&amp;DC$9)/DAY(EOMONTH(DC$9,0)))*2*DC115-DB169))))</f>
        <v>2747.1591176464503</v>
      </c>
      <c r="DD169" s="33">
        <f>IF(DD$9="",0,IF(OR(DD$9="",DAY(EOMONTH(DD$9,0))=0),0,IF((DD115-((SUMIFS(условия!$204:$204,условия!$8:$8,"&lt;="&amp;DD$9,условия!$9:$9,"&gt;="&amp;DD$9)/DAY(EOMONTH(DD$9,0)))*2*DD115-DC169))&lt;0,DC169+DD115,IF((SUMIFS(условия!$204:$204,условия!$8:$8,"&lt;="&amp;DD$9,условия!$9:$9,"&gt;="&amp;DD$9)/DAY(EOMONTH(DD$9,0)))*2*DD115-DC169&lt;0,0,(SUMIFS(условия!$204:$204,условия!$8:$8,"&lt;="&amp;DD$9,условия!$9:$9,"&gt;="&amp;DD$9)/DAY(EOMONTH(DD$9,0)))*2*DD115-DC169))))</f>
        <v>0</v>
      </c>
      <c r="DE169" s="33">
        <f>IF(DE$9="",0,IF(OR(DE$9="",DAY(EOMONTH(DE$9,0))=0),0,IF((DE115-((SUMIFS(условия!$204:$204,условия!$8:$8,"&lt;="&amp;DE$9,условия!$9:$9,"&gt;="&amp;DE$9)/DAY(EOMONTH(DE$9,0)))*2*DE115-DD169))&lt;0,DD169+DE115,IF((SUMIFS(условия!$204:$204,условия!$8:$8,"&lt;="&amp;DE$9,условия!$9:$9,"&gt;="&amp;DE$9)/DAY(EOMONTH(DE$9,0)))*2*DE115-DD169&lt;0,0,(SUMIFS(условия!$204:$204,условия!$8:$8,"&lt;="&amp;DE$9,условия!$9:$9,"&gt;="&amp;DE$9)/DAY(EOMONTH(DE$9,0)))*2*DE115-DD169))))</f>
        <v>2088.5128620732294</v>
      </c>
      <c r="DF169" s="33">
        <f>IF(DF$9="",0,IF(OR(DF$9="",DAY(EOMONTH(DF$9,0))=0),0,IF((DF115-((SUMIFS(условия!$204:$204,условия!$8:$8,"&lt;="&amp;DF$9,условия!$9:$9,"&gt;="&amp;DF$9)/DAY(EOMONTH(DF$9,0)))*2*DF115-DE169))&lt;0,DE169+DF115,IF((SUMIFS(условия!$204:$204,условия!$8:$8,"&lt;="&amp;DF$9,условия!$9:$9,"&gt;="&amp;DF$9)/DAY(EOMONTH(DF$9,0)))*2*DF115-DE169&lt;0,0,(SUMIFS(условия!$204:$204,условия!$8:$8,"&lt;="&amp;DF$9,условия!$9:$9,"&gt;="&amp;DF$9)/DAY(EOMONTH(DF$9,0)))*2*DF115-DE169))))</f>
        <v>0</v>
      </c>
      <c r="DG169" s="33">
        <f>IF(DG$9="",0,IF(OR(DG$9="",DAY(EOMONTH(DG$9,0))=0),0,IF((DG115-((SUMIFS(условия!$204:$204,условия!$8:$8,"&lt;="&amp;DG$9,условия!$9:$9,"&gt;="&amp;DG$9)/DAY(EOMONTH(DG$9,0)))*2*DG115-DF169))&lt;0,DF169+DG115,IF((SUMIFS(условия!$204:$204,условия!$8:$8,"&lt;="&amp;DG$9,условия!$9:$9,"&gt;="&amp;DG$9)/DAY(EOMONTH(DG$9,0)))*2*DG115-DF169&lt;0,0,(SUMIFS(условия!$204:$204,условия!$8:$8,"&lt;="&amp;DG$9,условия!$9:$9,"&gt;="&amp;DG$9)/DAY(EOMONTH(DG$9,0)))*2*DG115-DF169))))</f>
        <v>2414.6348689565989</v>
      </c>
      <c r="DH169" s="33">
        <f>IF(DH$9="",0,IF(OR(DH$9="",DAY(EOMONTH(DH$9,0))=0),0,IF((DH115-((SUMIFS(условия!$204:$204,условия!$8:$8,"&lt;="&amp;DH$9,условия!$9:$9,"&gt;="&amp;DH$9)/DAY(EOMONTH(DH$9,0)))*2*DH115-DG169))&lt;0,DG169+DH115,IF((SUMIFS(условия!$204:$204,условия!$8:$8,"&lt;="&amp;DH$9,условия!$9:$9,"&gt;="&amp;DH$9)/DAY(EOMONTH(DH$9,0)))*2*DH115-DG169&lt;0,0,(SUMIFS(условия!$204:$204,условия!$8:$8,"&lt;="&amp;DH$9,условия!$9:$9,"&gt;="&amp;DH$9)/DAY(EOMONTH(DH$9,0)))*2*DH115-DG169))))</f>
        <v>368.72784400475848</v>
      </c>
      <c r="DI169" s="33">
        <f>IF(DI$9="",0,IF(OR(DI$9="",DAY(EOMONTH(DI$9,0))=0),0,IF((DI115-((SUMIFS(условия!$204:$204,условия!$8:$8,"&lt;="&amp;DI$9,условия!$9:$9,"&gt;="&amp;DI$9)/DAY(EOMONTH(DI$9,0)))*2*DI115-DH169))&lt;0,DH169+DI115,IF((SUMIFS(условия!$204:$204,условия!$8:$8,"&lt;="&amp;DI$9,условия!$9:$9,"&gt;="&amp;DI$9)/DAY(EOMONTH(DI$9,0)))*2*DI115-DH169&lt;0,0,(SUMIFS(условия!$204:$204,условия!$8:$8,"&lt;="&amp;DI$9,условия!$9:$9,"&gt;="&amp;DI$9)/DAY(EOMONTH(DI$9,0)))*2*DI115-DH169))))</f>
        <v>2658.598682265047</v>
      </c>
      <c r="DJ169" s="33">
        <f>IF(DJ$9="",0,IF(OR(DJ$9="",DAY(EOMONTH(DJ$9,0))=0),0,IF((DJ115-((SUMIFS(условия!$204:$204,условия!$8:$8,"&lt;="&amp;DJ$9,условия!$9:$9,"&gt;="&amp;DJ$9)/DAY(EOMONTH(DJ$9,0)))*2*DJ115-DI169))&lt;0,DI169+DJ115,IF((SUMIFS(условия!$204:$204,условия!$8:$8,"&lt;="&amp;DJ$9,условия!$9:$9,"&gt;="&amp;DJ$9)/DAY(EOMONTH(DJ$9,0)))*2*DJ115-DI169&lt;0,0,(SUMIFS(условия!$204:$204,условия!$8:$8,"&lt;="&amp;DJ$9,условия!$9:$9,"&gt;="&amp;DJ$9)/DAY(EOMONTH(DJ$9,0)))*2*DJ115-DI169))))</f>
        <v>1539.1602361600903</v>
      </c>
      <c r="DK169" s="33">
        <f>IF(DK$9="",0,IF(OR(DK$9="",DAY(EOMONTH(DK$9,0))=0),0,IF((DK115-((SUMIFS(условия!$204:$204,условия!$8:$8,"&lt;="&amp;DK$9,условия!$9:$9,"&gt;="&amp;DK$9)/DAY(EOMONTH(DK$9,0)))*2*DK115-DJ169))&lt;0,DJ169+DK115,IF((SUMIFS(условия!$204:$204,условия!$8:$8,"&lt;="&amp;DK$9,условия!$9:$9,"&gt;="&amp;DK$9)/DAY(EOMONTH(DK$9,0)))*2*DK115-DJ169&lt;0,0,(SUMIFS(условия!$204:$204,условия!$8:$8,"&lt;="&amp;DK$9,условия!$9:$9,"&gt;="&amp;DK$9)/DAY(EOMONTH(DK$9,0)))*2*DK115-DJ169))))</f>
        <v>1492.0064666796052</v>
      </c>
      <c r="DL169" s="33">
        <f>IF(DL$9="",0,IF(OR(DL$9="",DAY(EOMONTH(DL$9,0))=0),0,IF((DL115-((SUMIFS(условия!$204:$204,условия!$8:$8,"&lt;="&amp;DL$9,условия!$9:$9,"&gt;="&amp;DL$9)/DAY(EOMONTH(DL$9,0)))*2*DL115-DK169))&lt;0,DK169+DL115,IF((SUMIFS(условия!$204:$204,условия!$8:$8,"&lt;="&amp;DL$9,условия!$9:$9,"&gt;="&amp;DL$9)/DAY(EOMONTH(DL$9,0)))*2*DL115-DK169&lt;0,0,(SUMIFS(условия!$204:$204,условия!$8:$8,"&lt;="&amp;DL$9,условия!$9:$9,"&gt;="&amp;DL$9)/DAY(EOMONTH(DL$9,0)))*2*DL115-DK169))))</f>
        <v>1076.2278474970049</v>
      </c>
      <c r="DM169" s="33">
        <f>IF(DM$9="",0,IF(OR(DM$9="",DAY(EOMONTH(DM$9,0))=0),0,IF((DM115-((SUMIFS(условия!$204:$204,условия!$8:$8,"&lt;="&amp;DM$9,условия!$9:$9,"&gt;="&amp;DM$9)/DAY(EOMONTH(DM$9,0)))*2*DM115-DL169))&lt;0,DL169+DM115,IF((SUMIFS(условия!$204:$204,условия!$8:$8,"&lt;="&amp;DM$9,условия!$9:$9,"&gt;="&amp;DM$9)/DAY(EOMONTH(DM$9,0)))*2*DM115-DL169&lt;0,0,(SUMIFS(условия!$204:$204,условия!$8:$8,"&lt;="&amp;DM$9,условия!$9:$9,"&gt;="&amp;DM$9)/DAY(EOMONTH(DM$9,0)))*2*DM115-DL169))))</f>
        <v>2465.5902100117255</v>
      </c>
      <c r="DN169" s="33">
        <f>IF(DN$9="",0,IF(OR(DN$9="",DAY(EOMONTH(DN$9,0))=0),0,IF((DN115-((SUMIFS(условия!$204:$204,условия!$8:$8,"&lt;="&amp;DN$9,условия!$9:$9,"&gt;="&amp;DN$9)/DAY(EOMONTH(DN$9,0)))*2*DN115-DM169))&lt;0,DM169+DN115,IF((SUMIFS(условия!$204:$204,условия!$8:$8,"&lt;="&amp;DN$9,условия!$9:$9,"&gt;="&amp;DN$9)/DAY(EOMONTH(DN$9,0)))*2*DN115-DM169&lt;0,0,(SUMIFS(условия!$204:$204,условия!$8:$8,"&lt;="&amp;DN$9,условия!$9:$9,"&gt;="&amp;DN$9)/DAY(EOMONTH(DN$9,0)))*2*DN115-DM169))))</f>
        <v>241.66649459493601</v>
      </c>
      <c r="DO169" s="33">
        <f>IF(DO$9="",0,IF(OR(DO$9="",DAY(EOMONTH(DO$9,0))=0),0,IF((DO115-((SUMIFS(условия!$204:$204,условия!$8:$8,"&lt;="&amp;DO$9,условия!$9:$9,"&gt;="&amp;DO$9)/DAY(EOMONTH(DO$9,0)))*2*DO115-DN169))&lt;0,DN169+DO115,IF((SUMIFS(условия!$204:$204,условия!$8:$8,"&lt;="&amp;DO$9,условия!$9:$9,"&gt;="&amp;DO$9)/DAY(EOMONTH(DO$9,0)))*2*DO115-DN169&lt;0,0,(SUMIFS(условия!$204:$204,условия!$8:$8,"&lt;="&amp;DO$9,условия!$9:$9,"&gt;="&amp;DO$9)/DAY(EOMONTH(DO$9,0)))*2*DO115-DN169))))</f>
        <v>3274.2121881423191</v>
      </c>
      <c r="DP169" s="33">
        <f>IF(DP$9="",0,IF(OR(DP$9="",DAY(EOMONTH(DP$9,0))=0),0,IF((DP115-((SUMIFS(условия!$204:$204,условия!$8:$8,"&lt;="&amp;DP$9,условия!$9:$9,"&gt;="&amp;DP$9)/DAY(EOMONTH(DP$9,0)))*2*DP115-DO169))&lt;0,DO169+DP115,IF((SUMIFS(условия!$204:$204,условия!$8:$8,"&lt;="&amp;DP$9,условия!$9:$9,"&gt;="&amp;DP$9)/DAY(EOMONTH(DP$9,0)))*2*DP115-DO169&lt;0,0,(SUMIFS(условия!$204:$204,условия!$8:$8,"&lt;="&amp;DP$9,условия!$9:$9,"&gt;="&amp;DP$9)/DAY(EOMONTH(DP$9,0)))*2*DP115-DO169))))</f>
        <v>0</v>
      </c>
      <c r="DQ169" s="33">
        <f>IF(DQ$9="",0,IF(OR(DQ$9="",DAY(EOMONTH(DQ$9,0))=0),0,IF((DQ115-((SUMIFS(условия!$204:$204,условия!$8:$8,"&lt;="&amp;DQ$9,условия!$9:$9,"&gt;="&amp;DQ$9)/DAY(EOMONTH(DQ$9,0)))*2*DQ115-DP169))&lt;0,DP169+DQ115,IF((SUMIFS(условия!$204:$204,условия!$8:$8,"&lt;="&amp;DQ$9,условия!$9:$9,"&gt;="&amp;DQ$9)/DAY(EOMONTH(DQ$9,0)))*2*DQ115-DP169&lt;0,0,(SUMIFS(условия!$204:$204,условия!$8:$8,"&lt;="&amp;DQ$9,условия!$9:$9,"&gt;="&amp;DQ$9)/DAY(EOMONTH(DQ$9,0)))*2*DQ115-DP169))))</f>
        <v>2811.7569186498808</v>
      </c>
      <c r="DR169" s="33">
        <f>IF(DR$9="",0,IF(OR(DR$9="",DAY(EOMONTH(DR$9,0))=0),0,IF((DR115-((SUMIFS(условия!$204:$204,условия!$8:$8,"&lt;="&amp;DR$9,условия!$9:$9,"&gt;="&amp;DR$9)/DAY(EOMONTH(DR$9,0)))*2*DR115-DQ169))&lt;0,DQ169+DR115,IF((SUMIFS(условия!$204:$204,условия!$8:$8,"&lt;="&amp;DR$9,условия!$9:$9,"&gt;="&amp;DR$9)/DAY(EOMONTH(DR$9,0)))*2*DR115-DQ169&lt;0,0,(SUMIFS(условия!$204:$204,условия!$8:$8,"&lt;="&amp;DR$9,условия!$9:$9,"&gt;="&amp;DR$9)/DAY(EOMONTH(DR$9,0)))*2*DR115-DQ169))))</f>
        <v>0</v>
      </c>
      <c r="DS169" s="33">
        <f>IF(DS$9="",0,IF(OR(DS$9="",DAY(EOMONTH(DS$9,0))=0),0,IF((DS115-((SUMIFS(условия!$204:$204,условия!$8:$8,"&lt;="&amp;DS$9,условия!$9:$9,"&gt;="&amp;DS$9)/DAY(EOMONTH(DS$9,0)))*2*DS115-DR169))&lt;0,DR169+DS115,IF((SUMIFS(условия!$204:$204,условия!$8:$8,"&lt;="&amp;DS$9,условия!$9:$9,"&gt;="&amp;DS$9)/DAY(EOMONTH(DS$9,0)))*2*DS115-DR169&lt;0,0,(SUMIFS(условия!$204:$204,условия!$8:$8,"&lt;="&amp;DS$9,условия!$9:$9,"&gt;="&amp;DS$9)/DAY(EOMONTH(DS$9,0)))*2*DS115-DR169))))</f>
        <v>3298.0894538662128</v>
      </c>
      <c r="DT169" s="33">
        <f>IF(DT$9="",0,IF(OR(DT$9="",DAY(EOMONTH(DT$9,0))=0),0,IF((DT115-((SUMIFS(условия!$204:$204,условия!$8:$8,"&lt;="&amp;DT$9,условия!$9:$9,"&gt;="&amp;DT$9)/DAY(EOMONTH(DT$9,0)))*2*DT115-DS169))&lt;0,DS169+DT115,IF((SUMIFS(условия!$204:$204,условия!$8:$8,"&lt;="&amp;DT$9,условия!$9:$9,"&gt;="&amp;DT$9)/DAY(EOMONTH(DT$9,0)))*2*DT115-DS169&lt;0,0,(SUMIFS(условия!$204:$204,условия!$8:$8,"&lt;="&amp;DT$9,условия!$9:$9,"&gt;="&amp;DT$9)/DAY(EOMONTH(DT$9,0)))*2*DT115-DS169))))</f>
        <v>0</v>
      </c>
      <c r="DU169" s="33">
        <f>IF(DU$9="",0,IF(OR(DU$9="",DAY(EOMONTH(DU$9,0))=0),0,IF((DU115-((SUMIFS(условия!$204:$204,условия!$8:$8,"&lt;="&amp;DU$9,условия!$9:$9,"&gt;="&amp;DU$9)/DAY(EOMONTH(DU$9,0)))*2*DU115-DT169))&lt;0,DT169+DU115,IF((SUMIFS(условия!$204:$204,условия!$8:$8,"&lt;="&amp;DU$9,условия!$9:$9,"&gt;="&amp;DU$9)/DAY(EOMONTH(DU$9,0)))*2*DU115-DT169&lt;0,0,(SUMIFS(условия!$204:$204,условия!$8:$8,"&lt;="&amp;DU$9,условия!$9:$9,"&gt;="&amp;DU$9)/DAY(EOMONTH(DU$9,0)))*2*DU115-DT169))))</f>
        <v>4117.6145767347889</v>
      </c>
      <c r="DV169" s="33">
        <f>IF(DV$9="",0,IF(OR(DV$9="",DAY(EOMONTH(DV$9,0))=0),0,IF((DV115-((SUMIFS(условия!$204:$204,условия!$8:$8,"&lt;="&amp;DV$9,условия!$9:$9,"&gt;="&amp;DV$9)/DAY(EOMONTH(DV$9,0)))*2*DV115-DU169))&lt;0,DU169+DV115,IF((SUMIFS(условия!$204:$204,условия!$8:$8,"&lt;="&amp;DV$9,условия!$9:$9,"&gt;="&amp;DV$9)/DAY(EOMONTH(DV$9,0)))*2*DV115-DU169&lt;0,0,(SUMIFS(условия!$204:$204,условия!$8:$8,"&lt;="&amp;DV$9,условия!$9:$9,"&gt;="&amp;DV$9)/DAY(EOMONTH(DV$9,0)))*2*DV115-DU169))))</f>
        <v>0</v>
      </c>
      <c r="DW169" s="33">
        <f>IF(DW$9="",0,IF(OR(DW$9="",DAY(EOMONTH(DW$9,0))=0),0,IF((DW115-((SUMIFS(условия!$204:$204,условия!$8:$8,"&lt;="&amp;DW$9,условия!$9:$9,"&gt;="&amp;DW$9)/DAY(EOMONTH(DW$9,0)))*2*DW115-DV169))&lt;0,DV169+DW115,IF((SUMIFS(условия!$204:$204,условия!$8:$8,"&lt;="&amp;DW$9,условия!$9:$9,"&gt;="&amp;DW$9)/DAY(EOMONTH(DW$9,0)))*2*DW115-DV169&lt;0,0,(SUMIFS(условия!$204:$204,условия!$8:$8,"&lt;="&amp;DW$9,условия!$9:$9,"&gt;="&amp;DW$9)/DAY(EOMONTH(DW$9,0)))*2*DW115-DV169))))</f>
        <v>3533.3105694849546</v>
      </c>
      <c r="DX169" s="33">
        <f>IF(DX$9="",0,IF(OR(DX$9="",DAY(EOMONTH(DX$9,0))=0),0,IF((DX115-((SUMIFS(условия!$204:$204,условия!$8:$8,"&lt;="&amp;DX$9,условия!$9:$9,"&gt;="&amp;DX$9)/DAY(EOMONTH(DX$9,0)))*2*DX115-DW169))&lt;0,DW169+DX115,IF((SUMIFS(условия!$204:$204,условия!$8:$8,"&lt;="&amp;DX$9,условия!$9:$9,"&gt;="&amp;DX$9)/DAY(EOMONTH(DX$9,0)))*2*DX115-DW169&lt;0,0,(SUMIFS(условия!$204:$204,условия!$8:$8,"&lt;="&amp;DX$9,условия!$9:$9,"&gt;="&amp;DX$9)/DAY(EOMONTH(DX$9,0)))*2*DX115-DW169))))</f>
        <v>0</v>
      </c>
      <c r="DY169" s="33">
        <f>IF(DY$9="",0,IF(OR(DY$9="",DAY(EOMONTH(DY$9,0))=0),0,IF((DY115-((SUMIFS(условия!$204:$204,условия!$8:$8,"&lt;="&amp;DY$9,условия!$9:$9,"&gt;="&amp;DY$9)/DAY(EOMONTH(DY$9,0)))*2*DY115-DX169))&lt;0,DX169+DY115,IF((SUMIFS(условия!$204:$204,условия!$8:$8,"&lt;="&amp;DY$9,условия!$9:$9,"&gt;="&amp;DY$9)/DAY(EOMONTH(DY$9,0)))*2*DY115-DX169&lt;0,0,(SUMIFS(условия!$204:$204,условия!$8:$8,"&lt;="&amp;DY$9,условия!$9:$9,"&gt;="&amp;DY$9)/DAY(EOMONTH(DY$9,0)))*2*DY115-DX169))))</f>
        <v>3781.7292428477485</v>
      </c>
      <c r="DZ169" s="33">
        <f>IF(DZ$9="",0,IF(OR(DZ$9="",DAY(EOMONTH(DZ$9,0))=0),0,IF((DZ115-((SUMIFS(условия!$204:$204,условия!$8:$8,"&lt;="&amp;DZ$9,условия!$9:$9,"&gt;="&amp;DZ$9)/DAY(EOMONTH(DZ$9,0)))*2*DZ115-DY169))&lt;0,DY169+DZ115,IF((SUMIFS(условия!$204:$204,условия!$8:$8,"&lt;="&amp;DZ$9,условия!$9:$9,"&gt;="&amp;DZ$9)/DAY(EOMONTH(DZ$9,0)))*2*DZ115-DY169&lt;0,0,(SUMIFS(условия!$204:$204,условия!$8:$8,"&lt;="&amp;DZ$9,условия!$9:$9,"&gt;="&amp;DZ$9)/DAY(EOMONTH(DZ$9,0)))*2*DZ115-DY169))))</f>
        <v>0</v>
      </c>
      <c r="EA169" s="33">
        <f>IF(EA$9="",0,IF(OR(EA$9="",DAY(EOMONTH(EA$9,0))=0),0,IF((EA115-((SUMIFS(условия!$204:$204,условия!$8:$8,"&lt;="&amp;EA$9,условия!$9:$9,"&gt;="&amp;EA$9)/DAY(EOMONTH(EA$9,0)))*2*EA115-DZ169))&lt;0,DZ169+EA115,IF((SUMIFS(условия!$204:$204,условия!$8:$8,"&lt;="&amp;EA$9,условия!$9:$9,"&gt;="&amp;EA$9)/DAY(EOMONTH(EA$9,0)))*2*EA115-DZ169&lt;0,0,(SUMIFS(условия!$204:$204,условия!$8:$8,"&lt;="&amp;EA$9,условия!$9:$9,"&gt;="&amp;EA$9)/DAY(EOMONTH(EA$9,0)))*2*EA115-DZ169))))</f>
        <v>3488.6888237233652</v>
      </c>
      <c r="EB169" s="33">
        <f>IF(EB$9="",0,IF(OR(EB$9="",DAY(EOMONTH(EB$9,0))=0),0,IF((EB115-((SUMIFS(условия!$204:$204,условия!$8:$8,"&lt;="&amp;EB$9,условия!$9:$9,"&gt;="&amp;EB$9)/DAY(EOMONTH(EB$9,0)))*2*EB115-EA169))&lt;0,EA169+EB115,IF((SUMIFS(условия!$204:$204,условия!$8:$8,"&lt;="&amp;EB$9,условия!$9:$9,"&gt;="&amp;EB$9)/DAY(EOMONTH(EB$9,0)))*2*EB115-EA169&lt;0,0,(SUMIFS(условия!$204:$204,условия!$8:$8,"&lt;="&amp;EB$9,условия!$9:$9,"&gt;="&amp;EB$9)/DAY(EOMONTH(EB$9,0)))*2*EB115-EA169))))</f>
        <v>0</v>
      </c>
      <c r="EC169" s="33">
        <f>IF(EC$9="",0,IF(OR(EC$9="",DAY(EOMONTH(EC$9,0))=0),0,IF((EC115-((SUMIFS(условия!$204:$204,условия!$8:$8,"&lt;="&amp;EC$9,условия!$9:$9,"&gt;="&amp;EC$9)/DAY(EOMONTH(EC$9,0)))*2*EC115-EB169))&lt;0,EB169+EC115,IF((SUMIFS(условия!$204:$204,условия!$8:$8,"&lt;="&amp;EC$9,условия!$9:$9,"&gt;="&amp;EC$9)/DAY(EOMONTH(EC$9,0)))*2*EC115-EB169&lt;0,0,(SUMIFS(условия!$204:$204,условия!$8:$8,"&lt;="&amp;EC$9,условия!$9:$9,"&gt;="&amp;EC$9)/DAY(EOMONTH(EC$9,0)))*2*EC115-EB169))))</f>
        <v>2644.2934314454906</v>
      </c>
      <c r="ED169" s="33">
        <f>IF(ED$9="",0,IF(OR(ED$9="",DAY(EOMONTH(ED$9,0))=0),0,IF((ED115-((SUMIFS(условия!$204:$204,условия!$8:$8,"&lt;="&amp;ED$9,условия!$9:$9,"&gt;="&amp;ED$9)/DAY(EOMONTH(ED$9,0)))*2*ED115-EC169))&lt;0,EC169+ED115,IF((SUMIFS(условия!$204:$204,условия!$8:$8,"&lt;="&amp;ED$9,условия!$9:$9,"&gt;="&amp;ED$9)/DAY(EOMONTH(ED$9,0)))*2*ED115-EC169&lt;0,0,(SUMIFS(условия!$204:$204,условия!$8:$8,"&lt;="&amp;ED$9,условия!$9:$9,"&gt;="&amp;ED$9)/DAY(EOMONTH(ED$9,0)))*2*ED115-EC169))))</f>
        <v>0</v>
      </c>
      <c r="EE169" s="33">
        <f>IF(EE$9="",0,IF(OR(EE$9="",DAY(EOMONTH(EE$9,0))=0),0,IF((EE115-((SUMIFS(условия!$204:$204,условия!$8:$8,"&lt;="&amp;EE$9,условия!$9:$9,"&gt;="&amp;EE$9)/DAY(EOMONTH(EE$9,0)))*2*EE115-ED169))&lt;0,ED169+EE115,IF((SUMIFS(условия!$204:$204,условия!$8:$8,"&lt;="&amp;EE$9,условия!$9:$9,"&gt;="&amp;EE$9)/DAY(EOMONTH(EE$9,0)))*2*EE115-ED169&lt;0,0,(SUMIFS(условия!$204:$204,условия!$8:$8,"&lt;="&amp;EE$9,условия!$9:$9,"&gt;="&amp;EE$9)/DAY(EOMONTH(EE$9,0)))*2*EE115-ED169))))</f>
        <v>2987.0751591406556</v>
      </c>
      <c r="EF169" s="33">
        <f>IF(EF$9="",0,IF(OR(EF$9="",DAY(EOMONTH(EF$9,0))=0),0,IF((EF115-((SUMIFS(условия!$204:$204,условия!$8:$8,"&lt;="&amp;EF$9,условия!$9:$9,"&gt;="&amp;EF$9)/DAY(EOMONTH(EF$9,0)))*2*EF115-EE169))&lt;0,EE169+EF115,IF((SUMIFS(условия!$204:$204,условия!$8:$8,"&lt;="&amp;EF$9,условия!$9:$9,"&gt;="&amp;EF$9)/DAY(EOMONTH(EF$9,0)))*2*EF115-EE169&lt;0,0,(SUMIFS(условия!$204:$204,условия!$8:$8,"&lt;="&amp;EF$9,условия!$9:$9,"&gt;="&amp;EF$9)/DAY(EOMONTH(EF$9,0)))*2*EF115-EE169))))</f>
        <v>571.38325257433826</v>
      </c>
      <c r="EG169" s="33">
        <f>IF(EG$9="",0,IF(OR(EG$9="",DAY(EOMONTH(EG$9,0))=0),0,IF((EG115-((SUMIFS(условия!$204:$204,условия!$8:$8,"&lt;="&amp;EG$9,условия!$9:$9,"&gt;="&amp;EG$9)/DAY(EOMONTH(EG$9,0)))*2*EG115-EF169))&lt;0,EF169+EG115,IF((SUMIFS(условия!$204:$204,условия!$8:$8,"&lt;="&amp;EG$9,условия!$9:$9,"&gt;="&amp;EG$9)/DAY(EOMONTH(EG$9,0)))*2*EG115-EF169&lt;0,0,(SUMIFS(условия!$204:$204,условия!$8:$8,"&lt;="&amp;EG$9,условия!$9:$9,"&gt;="&amp;EG$9)/DAY(EOMONTH(EG$9,0)))*2*EG115-EF169))))</f>
        <v>3015.1778541909798</v>
      </c>
      <c r="EH169" s="33">
        <f>IF(EH$9="",0,IF(OR(EH$9="",DAY(EOMONTH(EH$9,0))=0),0,IF((EH115-((SUMIFS(условия!$204:$204,условия!$8:$8,"&lt;="&amp;EH$9,условия!$9:$9,"&gt;="&amp;EH$9)/DAY(EOMONTH(EH$9,0)))*2*EH115-EG169))&lt;0,EG169+EH115,IF((SUMIFS(условия!$204:$204,условия!$8:$8,"&lt;="&amp;EH$9,условия!$9:$9,"&gt;="&amp;EH$9)/DAY(EOMONTH(EH$9,0)))*2*EH115-EG169&lt;0,0,(SUMIFS(условия!$204:$204,условия!$8:$8,"&lt;="&amp;EH$9,условия!$9:$9,"&gt;="&amp;EH$9)/DAY(EOMONTH(EH$9,0)))*2*EH115-EG169))))</f>
        <v>1696.708999909777</v>
      </c>
      <c r="EI169" s="33">
        <f>IF(EI$9="",0,IF(OR(EI$9="",DAY(EOMONTH(EI$9,0))=0),0,IF((EI115-((SUMIFS(условия!$204:$204,условия!$8:$8,"&lt;="&amp;EI$9,условия!$9:$9,"&gt;="&amp;EI$9)/DAY(EOMONTH(EI$9,0)))*2*EI115-EH169))&lt;0,EH169+EI115,IF((SUMIFS(условия!$204:$204,условия!$8:$8,"&lt;="&amp;EI$9,условия!$9:$9,"&gt;="&amp;EI$9)/DAY(EOMONTH(EI$9,0)))*2*EI115-EH169&lt;0,0,(SUMIFS(условия!$204:$204,условия!$8:$8,"&lt;="&amp;EI$9,условия!$9:$9,"&gt;="&amp;EI$9)/DAY(EOMONTH(EI$9,0)))*2*EI115-EH169))))</f>
        <v>1483.9608036626528</v>
      </c>
      <c r="EJ169" s="3"/>
      <c r="EK169" s="3"/>
    </row>
    <row r="170" spans="1:14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</row>
    <row r="171" spans="1:141" x14ac:dyDescent="0.25">
      <c r="A171" s="3"/>
      <c r="B171" s="3"/>
      <c r="C171" s="3"/>
      <c r="D171" s="3"/>
      <c r="E171" s="3"/>
      <c r="F171" s="10" t="str">
        <f>KPI!$F$174</f>
        <v>Оплата соц. сборов</v>
      </c>
      <c r="G171" s="3"/>
      <c r="H171" s="3"/>
      <c r="I171" s="3"/>
      <c r="J171" s="5" t="str">
        <f>IF($F171="","",INDEX(KPI!$I$11:$I$275,SUMIFS(KPI!$E$11:$E$275,KPI!$F$11:$F$275,$F171)))</f>
        <v>тыс.руб.</v>
      </c>
      <c r="K171" s="3"/>
      <c r="L171" s="3"/>
      <c r="M171" s="3"/>
      <c r="N171" s="3"/>
      <c r="O171" s="3"/>
      <c r="P171" s="3"/>
      <c r="Q171" s="12">
        <f>SUM(S171:EJ171)</f>
        <v>222417.2946904994</v>
      </c>
      <c r="R171" s="3"/>
      <c r="S171" s="55"/>
      <c r="T171" s="33">
        <f>S169+T115-T169</f>
        <v>6.1935483870967687</v>
      </c>
      <c r="U171" s="33">
        <f t="shared" ref="U171:CF171" si="71">T169+U115-U169</f>
        <v>357.89861751152074</v>
      </c>
      <c r="V171" s="33">
        <f t="shared" si="71"/>
        <v>46.009216589861751</v>
      </c>
      <c r="W171" s="33">
        <f t="shared" si="71"/>
        <v>331.79723502304148</v>
      </c>
      <c r="X171" s="33">
        <f t="shared" si="71"/>
        <v>69.485738441091883</v>
      </c>
      <c r="Y171" s="33">
        <f t="shared" si="71"/>
        <v>984.77564287104951</v>
      </c>
      <c r="Z171" s="33">
        <f t="shared" si="71"/>
        <v>57.072603541169826</v>
      </c>
      <c r="AA171" s="33">
        <f t="shared" si="71"/>
        <v>969.92250304884055</v>
      </c>
      <c r="AB171" s="33">
        <f t="shared" si="71"/>
        <v>51.562479073353472</v>
      </c>
      <c r="AC171" s="33">
        <f t="shared" si="71"/>
        <v>1005.345342960866</v>
      </c>
      <c r="AD171" s="33">
        <f t="shared" si="71"/>
        <v>30.549515098864504</v>
      </c>
      <c r="AE171" s="33">
        <f t="shared" si="71"/>
        <v>1038.8860624282695</v>
      </c>
      <c r="AF171" s="33">
        <f t="shared" si="71"/>
        <v>28.139974890166968</v>
      </c>
      <c r="AG171" s="33">
        <f t="shared" si="71"/>
        <v>1628.9753459935387</v>
      </c>
      <c r="AH171" s="33">
        <f t="shared" si="71"/>
        <v>121.71125374250755</v>
      </c>
      <c r="AI171" s="33">
        <f t="shared" si="71"/>
        <v>1550.6235504045057</v>
      </c>
      <c r="AJ171" s="33">
        <f t="shared" si="71"/>
        <v>148.75301233753271</v>
      </c>
      <c r="AK171" s="33">
        <f t="shared" si="71"/>
        <v>1490.2075956902981</v>
      </c>
      <c r="AL171" s="33">
        <f t="shared" si="71"/>
        <v>206.4466455595491</v>
      </c>
      <c r="AM171" s="33">
        <f t="shared" si="71"/>
        <v>1459.7329756371751</v>
      </c>
      <c r="AN171" s="33">
        <f t="shared" si="71"/>
        <v>214.46330382249903</v>
      </c>
      <c r="AO171" s="33">
        <f t="shared" si="71"/>
        <v>1558.060193454929</v>
      </c>
      <c r="AP171" s="33">
        <f t="shared" si="71"/>
        <v>137.2414763517786</v>
      </c>
      <c r="AQ171" s="33">
        <f t="shared" si="71"/>
        <v>1706.4085543972303</v>
      </c>
      <c r="AR171" s="33">
        <f t="shared" si="71"/>
        <v>32.060756647554058</v>
      </c>
      <c r="AS171" s="33">
        <f t="shared" si="71"/>
        <v>1856.6034851323257</v>
      </c>
      <c r="AT171" s="33">
        <f t="shared" si="71"/>
        <v>120.65198032591388</v>
      </c>
      <c r="AU171" s="33">
        <f t="shared" si="71"/>
        <v>1894.7860403162795</v>
      </c>
      <c r="AV171" s="33">
        <f t="shared" si="71"/>
        <v>37.154189659362373</v>
      </c>
      <c r="AW171" s="33">
        <f t="shared" si="71"/>
        <v>1798.3981655892539</v>
      </c>
      <c r="AX171" s="33">
        <f t="shared" si="71"/>
        <v>92.338938405371891</v>
      </c>
      <c r="AY171" s="33">
        <f t="shared" si="71"/>
        <v>1790.5946309240271</v>
      </c>
      <c r="AZ171" s="33">
        <f t="shared" si="71"/>
        <v>158.98186318894625</v>
      </c>
      <c r="BA171" s="33">
        <f t="shared" si="71"/>
        <v>1953.3212542723343</v>
      </c>
      <c r="BB171" s="33">
        <f t="shared" si="71"/>
        <v>82.905206988118607</v>
      </c>
      <c r="BC171" s="33">
        <f t="shared" si="71"/>
        <v>2123.3891964436825</v>
      </c>
      <c r="BD171" s="33">
        <f t="shared" si="71"/>
        <v>37.428743914888628</v>
      </c>
      <c r="BE171" s="33">
        <f t="shared" si="71"/>
        <v>2206.6215050518763</v>
      </c>
      <c r="BF171" s="33">
        <f t="shared" si="71"/>
        <v>141.62945742783518</v>
      </c>
      <c r="BG171" s="33">
        <f t="shared" si="71"/>
        <v>2338.5704876609975</v>
      </c>
      <c r="BH171" s="33">
        <f t="shared" si="71"/>
        <v>35.068829871414891</v>
      </c>
      <c r="BI171" s="33">
        <f t="shared" si="71"/>
        <v>2104.1297922848989</v>
      </c>
      <c r="BJ171" s="33">
        <f t="shared" si="71"/>
        <v>204.97542852183165</v>
      </c>
      <c r="BK171" s="33">
        <f t="shared" si="71"/>
        <v>1954.9210976648658</v>
      </c>
      <c r="BL171" s="33">
        <f t="shared" si="71"/>
        <v>526.2968348475074</v>
      </c>
      <c r="BM171" s="33">
        <f t="shared" si="71"/>
        <v>2001.3886109437383</v>
      </c>
      <c r="BN171" s="33">
        <f t="shared" si="71"/>
        <v>790.85436994598831</v>
      </c>
      <c r="BO171" s="33">
        <f t="shared" si="71"/>
        <v>2205.9286322246617</v>
      </c>
      <c r="BP171" s="33">
        <f t="shared" si="71"/>
        <v>208.37832176170195</v>
      </c>
      <c r="BQ171" s="33">
        <f t="shared" si="71"/>
        <v>2305.7770244518861</v>
      </c>
      <c r="BR171" s="33">
        <f t="shared" si="71"/>
        <v>1019.6473508004635</v>
      </c>
      <c r="BS171" s="33">
        <f t="shared" si="71"/>
        <v>1688.8311036906068</v>
      </c>
      <c r="BT171" s="33">
        <f t="shared" si="71"/>
        <v>1416.3466786894098</v>
      </c>
      <c r="BU171" s="33">
        <f t="shared" si="71"/>
        <v>927.11377600900187</v>
      </c>
      <c r="BV171" s="33">
        <f t="shared" si="71"/>
        <v>1944.762994990693</v>
      </c>
      <c r="BW171" s="33">
        <f t="shared" si="71"/>
        <v>401.23307449444019</v>
      </c>
      <c r="BX171" s="33">
        <f t="shared" si="71"/>
        <v>2777.0784578952639</v>
      </c>
      <c r="BY171" s="33">
        <f t="shared" si="71"/>
        <v>188.16505055888456</v>
      </c>
      <c r="BZ171" s="33">
        <f t="shared" si="71"/>
        <v>4505.048040247817</v>
      </c>
      <c r="CA171" s="33">
        <f t="shared" si="71"/>
        <v>64.342304426546207</v>
      </c>
      <c r="CB171" s="33">
        <f t="shared" si="71"/>
        <v>3716.067011877305</v>
      </c>
      <c r="CC171" s="33">
        <f t="shared" si="71"/>
        <v>0</v>
      </c>
      <c r="CD171" s="33">
        <f t="shared" si="71"/>
        <v>4449.2181970160273</v>
      </c>
      <c r="CE171" s="33">
        <f t="shared" si="71"/>
        <v>0</v>
      </c>
      <c r="CF171" s="33">
        <f t="shared" si="71"/>
        <v>3900.0884087120844</v>
      </c>
      <c r="CG171" s="33">
        <f t="shared" ref="CG171:EI171" si="72">CF169+CG115-CG169</f>
        <v>0</v>
      </c>
      <c r="CH171" s="33">
        <f t="shared" si="72"/>
        <v>3618.5076701323978</v>
      </c>
      <c r="CI171" s="33">
        <f t="shared" si="72"/>
        <v>69.353851423352808</v>
      </c>
      <c r="CJ171" s="33">
        <f t="shared" si="72"/>
        <v>4161.231085401173</v>
      </c>
      <c r="CK171" s="33">
        <f t="shared" si="72"/>
        <v>498.23917789743973</v>
      </c>
      <c r="CL171" s="33">
        <f t="shared" si="72"/>
        <v>4546.5562818928056</v>
      </c>
      <c r="CM171" s="33">
        <f t="shared" si="72"/>
        <v>1401.9303596984437</v>
      </c>
      <c r="CN171" s="33">
        <f t="shared" si="72"/>
        <v>2915.1016983836043</v>
      </c>
      <c r="CO171" s="33">
        <f t="shared" si="72"/>
        <v>863.89416661488212</v>
      </c>
      <c r="CP171" s="33">
        <f t="shared" si="72"/>
        <v>4201.6646138998958</v>
      </c>
      <c r="CQ171" s="33">
        <f t="shared" si="72"/>
        <v>0</v>
      </c>
      <c r="CR171" s="33">
        <f t="shared" si="72"/>
        <v>4487.5394118517443</v>
      </c>
      <c r="CS171" s="33">
        <f t="shared" si="72"/>
        <v>0</v>
      </c>
      <c r="CT171" s="33">
        <f t="shared" si="72"/>
        <v>3905.3759180031898</v>
      </c>
      <c r="CU171" s="33">
        <f t="shared" si="72"/>
        <v>80.909276102145668</v>
      </c>
      <c r="CV171" s="33">
        <f t="shared" si="72"/>
        <v>4756.8227709303628</v>
      </c>
      <c r="CW171" s="33">
        <f t="shared" si="72"/>
        <v>107.26269802683692</v>
      </c>
      <c r="CX171" s="33">
        <f t="shared" si="72"/>
        <v>6156.834280448631</v>
      </c>
      <c r="CY171" s="33">
        <f t="shared" si="72"/>
        <v>80.673065272783788</v>
      </c>
      <c r="CZ171" s="33">
        <f t="shared" si="72"/>
        <v>4329.0627923988231</v>
      </c>
      <c r="DA171" s="33">
        <f t="shared" si="72"/>
        <v>0</v>
      </c>
      <c r="DB171" s="33">
        <f t="shared" si="72"/>
        <v>5175.9033432967653</v>
      </c>
      <c r="DC171" s="33">
        <f t="shared" si="72"/>
        <v>0</v>
      </c>
      <c r="DD171" s="33">
        <f t="shared" si="72"/>
        <v>4657.8532321740286</v>
      </c>
      <c r="DE171" s="33">
        <f t="shared" si="72"/>
        <v>0</v>
      </c>
      <c r="DF171" s="33">
        <f t="shared" si="72"/>
        <v>4212.3557010077948</v>
      </c>
      <c r="DG171" s="33">
        <f t="shared" si="72"/>
        <v>80.487828965219705</v>
      </c>
      <c r="DH171" s="33">
        <f t="shared" si="72"/>
        <v>4829.2697379131978</v>
      </c>
      <c r="DI171" s="33">
        <f t="shared" si="72"/>
        <v>838.36657221851056</v>
      </c>
      <c r="DJ171" s="33">
        <f t="shared" si="72"/>
        <v>5317.1973645300932</v>
      </c>
      <c r="DK171" s="33">
        <f t="shared" si="72"/>
        <v>3179.3593624148371</v>
      </c>
      <c r="DL171" s="33">
        <f t="shared" si="72"/>
        <v>3069.6207438317638</v>
      </c>
      <c r="DM171" s="33">
        <f t="shared" si="72"/>
        <v>1916.3344911600943</v>
      </c>
      <c r="DN171" s="33">
        <f t="shared" si="72"/>
        <v>5021.4223101770058</v>
      </c>
      <c r="DO171" s="33">
        <f t="shared" si="72"/>
        <v>483.33298918987202</v>
      </c>
      <c r="DP171" s="33">
        <f t="shared" si="72"/>
        <v>5732.3685817982177</v>
      </c>
      <c r="DQ171" s="33">
        <f t="shared" si="72"/>
        <v>0</v>
      </c>
      <c r="DR171" s="33">
        <f t="shared" si="72"/>
        <v>5245.9791770556039</v>
      </c>
      <c r="DS171" s="33">
        <f t="shared" si="72"/>
        <v>109.9363151288735</v>
      </c>
      <c r="DT171" s="33">
        <f t="shared" si="72"/>
        <v>6344.8202963694703</v>
      </c>
      <c r="DU171" s="33">
        <f t="shared" si="72"/>
        <v>137.25381922449287</v>
      </c>
      <c r="DV171" s="33">
        <f t="shared" si="72"/>
        <v>7933.1184568059725</v>
      </c>
      <c r="DW171" s="33">
        <f t="shared" si="72"/>
        <v>117.77701898283158</v>
      </c>
      <c r="DX171" s="33">
        <f t="shared" si="72"/>
        <v>6020.3499588533423</v>
      </c>
      <c r="DY171" s="33">
        <f t="shared" si="72"/>
        <v>0</v>
      </c>
      <c r="DZ171" s="33">
        <f t="shared" si="72"/>
        <v>6417.0834033400788</v>
      </c>
      <c r="EA171" s="33">
        <f t="shared" si="72"/>
        <v>0</v>
      </c>
      <c r="EB171" s="33">
        <f t="shared" si="72"/>
        <v>5970.8914473563118</v>
      </c>
      <c r="EC171" s="33">
        <f t="shared" si="72"/>
        <v>0</v>
      </c>
      <c r="ED171" s="33">
        <f t="shared" si="72"/>
        <v>5358.0596719132391</v>
      </c>
      <c r="EE171" s="33">
        <f t="shared" si="72"/>
        <v>99.56917197135499</v>
      </c>
      <c r="EF171" s="33">
        <f t="shared" si="72"/>
        <v>5974.1503182813112</v>
      </c>
      <c r="EG171" s="33">
        <f t="shared" si="72"/>
        <v>1262.3185420408536</v>
      </c>
      <c r="EH171" s="33">
        <f t="shared" si="72"/>
        <v>6030.3557083819596</v>
      </c>
      <c r="EI171" s="33">
        <f t="shared" si="72"/>
        <v>3499.4403266053018</v>
      </c>
      <c r="EJ171" s="3"/>
      <c r="EK171" s="3"/>
    </row>
    <row r="172" spans="1:14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2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</row>
    <row r="173" spans="1:141" x14ac:dyDescent="0.25">
      <c r="A173" s="3"/>
      <c r="B173" s="3"/>
      <c r="C173" s="3"/>
      <c r="D173" s="3"/>
      <c r="E173" s="3"/>
      <c r="F173" s="10" t="str">
        <f>KPI!$F$176</f>
        <v>Кред. задолж-ть по АНХ расходам на конец периода</v>
      </c>
      <c r="G173" s="3"/>
      <c r="H173" s="3"/>
      <c r="I173" s="3"/>
      <c r="J173" s="5" t="str">
        <f>IF($F173="","",INDEX(KPI!$I$11:$I$275,SUMIFS(KPI!$E$11:$E$275,KPI!$F$11:$F$275,$F173)))</f>
        <v>тыс.руб.</v>
      </c>
      <c r="K173" s="3"/>
      <c r="L173" s="3"/>
      <c r="M173" s="3"/>
      <c r="N173" s="3"/>
      <c r="O173" s="3"/>
      <c r="P173" s="3"/>
      <c r="Q173" s="12"/>
      <c r="R173" s="3"/>
      <c r="S173" s="55"/>
      <c r="T173" s="33">
        <f>IF(T$9="",0,IF(OR(T$9="",DAY(EOMONTH(T$9,0))=0),0,IF((T123-((SUMIFS(условия!$206:$206,условия!$8:$8,"&lt;="&amp;T$9,условия!$9:$9,"&gt;="&amp;T$9)/DAY(EOMONTH(T$9,0)))*2*T123-S173))&lt;0,S173+T123,IF((SUMIFS(условия!$206:$206,условия!$8:$8,"&lt;="&amp;T$9,условия!$9:$9,"&gt;="&amp;T$9)/DAY(EOMONTH(T$9,0)))*2*T123-S173&lt;0,0,(SUMIFS(условия!$206:$206,условия!$8:$8,"&lt;="&amp;T$9,условия!$9:$9,"&gt;="&amp;T$9)/DAY(EOMONTH(T$9,0)))*2*T123-S173))))</f>
        <v>0.64516129032258063</v>
      </c>
      <c r="U173" s="33">
        <f>IF(U$9="",0,IF(OR(U$9="",DAY(EOMONTH(U$9,0))=0),0,IF((U123-((SUMIFS(условия!$206:$206,условия!$8:$8,"&lt;="&amp;U$9,условия!$9:$9,"&gt;="&amp;U$9)/DAY(EOMONTH(U$9,0)))*2*U123-T173))&lt;0,T173+U123,IF((SUMIFS(условия!$206:$206,условия!$8:$8,"&lt;="&amp;U$9,условия!$9:$9,"&gt;="&amp;U$9)/DAY(EOMONTH(U$9,0)))*2*U123-T173&lt;0,0,(SUMIFS(условия!$206:$206,условия!$8:$8,"&lt;="&amp;U$9,условия!$9:$9,"&gt;="&amp;U$9)/DAY(EOMONTH(U$9,0)))*2*U123-T173))))</f>
        <v>6.9124423963133563E-2</v>
      </c>
      <c r="V173" s="33">
        <f>IF(V$9="",0,IF(OR(V$9="",DAY(EOMONTH(V$9,0))=0),0,IF((V123-((SUMIFS(условия!$206:$206,условия!$8:$8,"&lt;="&amp;V$9,условия!$9:$9,"&gt;="&amp;V$9)/DAY(EOMONTH(V$9,0)))*2*V123-U173))&lt;0,U173+V123,IF((SUMIFS(условия!$206:$206,условия!$8:$8,"&lt;="&amp;V$9,условия!$9:$9,"&gt;="&amp;V$9)/DAY(EOMONTH(V$9,0)))*2*V123-U173&lt;0,0,(SUMIFS(условия!$206:$206,условия!$8:$8,"&lt;="&amp;V$9,условия!$9:$9,"&gt;="&amp;V$9)/DAY(EOMONTH(V$9,0)))*2*V123-U173))))</f>
        <v>0.57603686635944706</v>
      </c>
      <c r="W173" s="33">
        <f>IF(W$9="",0,IF(OR(W$9="",DAY(EOMONTH(W$9,0))=0),0,IF((W123-((SUMIFS(условия!$206:$206,условия!$8:$8,"&lt;="&amp;W$9,условия!$9:$9,"&gt;="&amp;W$9)/DAY(EOMONTH(W$9,0)))*2*W123-V173))&lt;0,V173+W123,IF((SUMIFS(условия!$206:$206,условия!$8:$8,"&lt;="&amp;W$9,условия!$9:$9,"&gt;="&amp;W$9)/DAY(EOMONTH(W$9,0)))*2*W123-V173&lt;0,0,(SUMIFS(условия!$206:$206,условия!$8:$8,"&lt;="&amp;W$9,условия!$9:$9,"&gt;="&amp;W$9)/DAY(EOMONTH(W$9,0)))*2*W123-V173))))</f>
        <v>9.0629800307219566E-2</v>
      </c>
      <c r="X173" s="33">
        <f>IF(X$9="",0,IF(OR(X$9="",DAY(EOMONTH(X$9,0))=0),0,IF((X123-((SUMIFS(условия!$206:$206,условия!$8:$8,"&lt;="&amp;X$9,условия!$9:$9,"&gt;="&amp;X$9)/DAY(EOMONTH(X$9,0)))*2*X123-W173))&lt;0,W173+X123,IF((SUMIFS(условия!$206:$206,условия!$8:$8,"&lt;="&amp;X$9,условия!$9:$9,"&gt;="&amp;X$9)/DAY(EOMONTH(X$9,0)))*2*X123-W173&lt;0,0,(SUMIFS(условия!$206:$206,условия!$8:$8,"&lt;="&amp;X$9,условия!$9:$9,"&gt;="&amp;X$9)/DAY(EOMONTH(X$9,0)))*2*X123-W173))))</f>
        <v>3.0061443932411676</v>
      </c>
      <c r="Y173" s="33">
        <f>IF(Y$9="",0,IF(OR(Y$9="",DAY(EOMONTH(Y$9,0))=0),0,IF((Y123-((SUMIFS(условия!$206:$206,условия!$8:$8,"&lt;="&amp;Y$9,условия!$9:$9,"&gt;="&amp;Y$9)/DAY(EOMONTH(Y$9,0)))*2*Y123-X173))&lt;0,X173+Y123,IF((SUMIFS(условия!$206:$206,условия!$8:$8,"&lt;="&amp;Y$9,условия!$9:$9,"&gt;="&amp;Y$9)/DAY(EOMONTH(Y$9,0)))*2*Y123-X173&lt;0,0,(SUMIFS(условия!$206:$206,условия!$8:$8,"&lt;="&amp;Y$9,условия!$9:$9,"&gt;="&amp;Y$9)/DAY(EOMONTH(Y$9,0)))*2*Y123-X173))))</f>
        <v>0.19385560675883262</v>
      </c>
      <c r="Z173" s="33">
        <f>IF(Z$9="",0,IF(OR(Z$9="",DAY(EOMONTH(Z$9,0))=0),0,IF((Z123-((SUMIFS(условия!$206:$206,условия!$8:$8,"&lt;="&amp;Z$9,условия!$9:$9,"&gt;="&amp;Z$9)/DAY(EOMONTH(Z$9,0)))*2*Z123-Y173))&lt;0,Y173+Z123,IF((SUMIFS(условия!$206:$206,условия!$8:$8,"&lt;="&amp;Z$9,условия!$9:$9,"&gt;="&amp;Z$9)/DAY(EOMONTH(Z$9,0)))*2*Z123-Y173&lt;0,0,(SUMIFS(условия!$206:$206,условия!$8:$8,"&lt;="&amp;Z$9,условия!$9:$9,"&gt;="&amp;Z$9)/DAY(EOMONTH(Z$9,0)))*2*Z123-Y173))))</f>
        <v>2.9029185867895544</v>
      </c>
      <c r="AA173" s="33">
        <f>IF(AA$9="",0,IF(OR(AA$9="",DAY(EOMONTH(AA$9,0))=0),0,IF((AA123-((SUMIFS(условия!$206:$206,условия!$8:$8,"&lt;="&amp;AA$9,условия!$9:$9,"&gt;="&amp;AA$9)/DAY(EOMONTH(AA$9,0)))*2*AA123-Z173))&lt;0,Z173+AA123,IF((SUMIFS(условия!$206:$206,условия!$8:$8,"&lt;="&amp;AA$9,условия!$9:$9,"&gt;="&amp;AA$9)/DAY(EOMONTH(AA$9,0)))*2*AA123-Z173&lt;0,0,(SUMIFS(условия!$206:$206,условия!$8:$8,"&lt;="&amp;AA$9,условия!$9:$9,"&gt;="&amp;AA$9)/DAY(EOMONTH(AA$9,0)))*2*AA123-Z173))))</f>
        <v>0.19385560675883262</v>
      </c>
      <c r="AB173" s="33">
        <f>IF(AB$9="",0,IF(OR(AB$9="",DAY(EOMONTH(AB$9,0))=0),0,IF((AB123-((SUMIFS(условия!$206:$206,условия!$8:$8,"&lt;="&amp;AB$9,условия!$9:$9,"&gt;="&amp;AB$9)/DAY(EOMONTH(AB$9,0)))*2*AB123-AA173))&lt;0,AA173+AB123,IF((SUMIFS(условия!$206:$206,условия!$8:$8,"&lt;="&amp;AB$9,условия!$9:$9,"&gt;="&amp;AB$9)/DAY(EOMONTH(AB$9,0)))*2*AB123-AA173&lt;0,0,(SUMIFS(условия!$206:$206,условия!$8:$8,"&lt;="&amp;AB$9,условия!$9:$9,"&gt;="&amp;AB$9)/DAY(EOMONTH(AB$9,0)))*2*AB123-AA173))))</f>
        <v>3.0061443932411676</v>
      </c>
      <c r="AC173" s="33">
        <f>IF(AC$9="",0,IF(OR(AC$9="",DAY(EOMONTH(AC$9,0))=0),0,IF((AC123-((SUMIFS(условия!$206:$206,условия!$8:$8,"&lt;="&amp;AC$9,условия!$9:$9,"&gt;="&amp;AC$9)/DAY(EOMONTH(AC$9,0)))*2*AC123-AB173))&lt;0,AB173+AC123,IF((SUMIFS(условия!$206:$206,условия!$8:$8,"&lt;="&amp;AC$9,условия!$9:$9,"&gt;="&amp;AC$9)/DAY(EOMONTH(AC$9,0)))*2*AC123-AB173&lt;0,0,(SUMIFS(условия!$206:$206,условия!$8:$8,"&lt;="&amp;AC$9,условия!$9:$9,"&gt;="&amp;AC$9)/DAY(EOMONTH(AC$9,0)))*2*AC123-AB173))))</f>
        <v>9.0629800307219455E-2</v>
      </c>
      <c r="AD173" s="33">
        <f>IF(AD$9="",0,IF(OR(AD$9="",DAY(EOMONTH(AD$9,0))=0),0,IF((AD123-((SUMIFS(условия!$206:$206,условия!$8:$8,"&lt;="&amp;AD$9,условия!$9:$9,"&gt;="&amp;AD$9)/DAY(EOMONTH(AD$9,0)))*2*AD123-AC173))&lt;0,AC173+AD123,IF((SUMIFS(условия!$206:$206,условия!$8:$8,"&lt;="&amp;AD$9,условия!$9:$9,"&gt;="&amp;AD$9)/DAY(EOMONTH(AD$9,0)))*2*AD123-AC173&lt;0,0,(SUMIFS(условия!$206:$206,условия!$8:$8,"&lt;="&amp;AD$9,условия!$9:$9,"&gt;="&amp;AD$9)/DAY(EOMONTH(AD$9,0)))*2*AD123-AC173))))</f>
        <v>3.1093701996927807</v>
      </c>
      <c r="AE173" s="33">
        <f>IF(AE$9="",0,IF(OR(AE$9="",DAY(EOMONTH(AE$9,0))=0),0,IF((AE123-((SUMIFS(условия!$206:$206,условия!$8:$8,"&lt;="&amp;AE$9,условия!$9:$9,"&gt;="&amp;AE$9)/DAY(EOMONTH(AE$9,0)))*2*AE123-AD173))&lt;0,AD173+AE123,IF((SUMIFS(условия!$206:$206,условия!$8:$8,"&lt;="&amp;AE$9,условия!$9:$9,"&gt;="&amp;AE$9)/DAY(EOMONTH(AE$9,0)))*2*AE123-AD173&lt;0,0,(SUMIFS(условия!$206:$206,условия!$8:$8,"&lt;="&amp;AE$9,условия!$9:$9,"&gt;="&amp;AE$9)/DAY(EOMONTH(AE$9,0)))*2*AE123-AD173))))</f>
        <v>0</v>
      </c>
      <c r="AF173" s="33">
        <f>IF(AF$9="",0,IF(OR(AF$9="",DAY(EOMONTH(AF$9,0))=0),0,IF((AF123-((SUMIFS(условия!$206:$206,условия!$8:$8,"&lt;="&amp;AF$9,условия!$9:$9,"&gt;="&amp;AF$9)/DAY(EOMONTH(AF$9,0)))*2*AF123-AE173))&lt;0,AE173+AF123,IF((SUMIFS(условия!$206:$206,условия!$8:$8,"&lt;="&amp;AF$9,условия!$9:$9,"&gt;="&amp;AF$9)/DAY(EOMONTH(AF$9,0)))*2*AF123-AE173&lt;0,0,(SUMIFS(условия!$206:$206,условия!$8:$8,"&lt;="&amp;AF$9,условия!$9:$9,"&gt;="&amp;AF$9)/DAY(EOMONTH(AF$9,0)))*2*AF123-AE173))))</f>
        <v>4.2</v>
      </c>
      <c r="AG173" s="33">
        <f>IF(AG$9="",0,IF(OR(AG$9="",DAY(EOMONTH(AG$9,0))=0),0,IF((AG123-((SUMIFS(условия!$206:$206,условия!$8:$8,"&lt;="&amp;AG$9,условия!$9:$9,"&gt;="&amp;AG$9)/DAY(EOMONTH(AG$9,0)))*2*AG123-AF173))&lt;0,AF173+AG123,IF((SUMIFS(условия!$206:$206,условия!$8:$8,"&lt;="&amp;AG$9,условия!$9:$9,"&gt;="&amp;AG$9)/DAY(EOMONTH(AG$9,0)))*2*AG123-AF173&lt;0,0,(SUMIFS(условия!$206:$206,условия!$8:$8,"&lt;="&amp;AG$9,условия!$9:$9,"&gt;="&amp;AG$9)/DAY(EOMONTH(AG$9,0)))*2*AG123-AF173))))</f>
        <v>0.45000000000000018</v>
      </c>
      <c r="AH173" s="33">
        <f>IF(AH$9="",0,IF(OR(AH$9="",DAY(EOMONTH(AH$9,0))=0),0,IF((AH123-((SUMIFS(условия!$206:$206,условия!$8:$8,"&lt;="&amp;AH$9,условия!$9:$9,"&gt;="&amp;AH$9)/DAY(EOMONTH(AH$9,0)))*2*AH123-AG173))&lt;0,AG173+AH123,IF((SUMIFS(условия!$206:$206,условия!$8:$8,"&lt;="&amp;AH$9,условия!$9:$9,"&gt;="&amp;AH$9)/DAY(EOMONTH(AH$9,0)))*2*AH123-AG173&lt;0,0,(SUMIFS(условия!$206:$206,условия!$8:$8,"&lt;="&amp;AH$9,условия!$9:$9,"&gt;="&amp;AH$9)/DAY(EOMONTH(AH$9,0)))*2*AH123-AG173))))</f>
        <v>3.75</v>
      </c>
      <c r="AI173" s="33">
        <f>IF(AI$9="",0,IF(OR(AI$9="",DAY(EOMONTH(AI$9,0))=0),0,IF((AI123-((SUMIFS(условия!$206:$206,условия!$8:$8,"&lt;="&amp;AI$9,условия!$9:$9,"&gt;="&amp;AI$9)/DAY(EOMONTH(AI$9,0)))*2*AI123-AH173))&lt;0,AH173+AI123,IF((SUMIFS(условия!$206:$206,условия!$8:$8,"&lt;="&amp;AI$9,условия!$9:$9,"&gt;="&amp;AI$9)/DAY(EOMONTH(AI$9,0)))*2*AI123-AH173&lt;0,0,(SUMIFS(условия!$206:$206,условия!$8:$8,"&lt;="&amp;AI$9,условия!$9:$9,"&gt;="&amp;AI$9)/DAY(EOMONTH(AI$9,0)))*2*AI123-AH173))))</f>
        <v>0.59000000000000075</v>
      </c>
      <c r="AJ173" s="33">
        <f>IF(AJ$9="",0,IF(OR(AJ$9="",DAY(EOMONTH(AJ$9,0))=0),0,IF((AJ123-((SUMIFS(условия!$206:$206,условия!$8:$8,"&lt;="&amp;AJ$9,условия!$9:$9,"&gt;="&amp;AJ$9)/DAY(EOMONTH(AJ$9,0)))*2*AJ123-AI173))&lt;0,AI173+AJ123,IF((SUMIFS(условия!$206:$206,условия!$8:$8,"&lt;="&amp;AJ$9,условия!$9:$9,"&gt;="&amp;AJ$9)/DAY(EOMONTH(AJ$9,0)))*2*AJ123-AI173&lt;0,0,(SUMIFS(условия!$206:$206,условия!$8:$8,"&lt;="&amp;AJ$9,условия!$9:$9,"&gt;="&amp;AJ$9)/DAY(EOMONTH(AJ$9,0)))*2*AJ123-AI173))))</f>
        <v>3.6099999999999994</v>
      </c>
      <c r="AK173" s="33">
        <f>IF(AK$9="",0,IF(OR(AK$9="",DAY(EOMONTH(AK$9,0))=0),0,IF((AK123-((SUMIFS(условия!$206:$206,условия!$8:$8,"&lt;="&amp;AK$9,условия!$9:$9,"&gt;="&amp;AK$9)/DAY(EOMONTH(AK$9,0)))*2*AK123-AJ173))&lt;0,AJ173+AK123,IF((SUMIFS(условия!$206:$206,условия!$8:$8,"&lt;="&amp;AK$9,условия!$9:$9,"&gt;="&amp;AK$9)/DAY(EOMONTH(AK$9,0)))*2*AK123-AJ173&lt;0,0,(SUMIFS(условия!$206:$206,условия!$8:$8,"&lt;="&amp;AK$9,условия!$9:$9,"&gt;="&amp;AK$9)/DAY(EOMONTH(AK$9,0)))*2*AK123-AJ173))))</f>
        <v>0.73000000000000131</v>
      </c>
      <c r="AL173" s="33">
        <f>IF(AL$9="",0,IF(OR(AL$9="",DAY(EOMONTH(AL$9,0))=0),0,IF((AL123-((SUMIFS(условия!$206:$206,условия!$8:$8,"&lt;="&amp;AL$9,условия!$9:$9,"&gt;="&amp;AL$9)/DAY(EOMONTH(AL$9,0)))*2*AL123-AK173))&lt;0,AK173+AL123,IF((SUMIFS(условия!$206:$206,условия!$8:$8,"&lt;="&amp;AL$9,условия!$9:$9,"&gt;="&amp;AL$9)/DAY(EOMONTH(AL$9,0)))*2*AL123-AK173&lt;0,0,(SUMIFS(условия!$206:$206,условия!$8:$8,"&lt;="&amp;AL$9,условия!$9:$9,"&gt;="&amp;AL$9)/DAY(EOMONTH(AL$9,0)))*2*AL123-AK173))))</f>
        <v>3.4699999999999989</v>
      </c>
      <c r="AM173" s="33">
        <f>IF(AM$9="",0,IF(OR(AM$9="",DAY(EOMONTH(AM$9,0))=0),0,IF((AM123-((SUMIFS(условия!$206:$206,условия!$8:$8,"&lt;="&amp;AM$9,условия!$9:$9,"&gt;="&amp;AM$9)/DAY(EOMONTH(AM$9,0)))*2*AM123-AL173))&lt;0,AL173+AM123,IF((SUMIFS(условия!$206:$206,условия!$8:$8,"&lt;="&amp;AM$9,условия!$9:$9,"&gt;="&amp;AM$9)/DAY(EOMONTH(AM$9,0)))*2*AM123-AL173&lt;0,0,(SUMIFS(условия!$206:$206,условия!$8:$8,"&lt;="&amp;AM$9,условия!$9:$9,"&gt;="&amp;AM$9)/DAY(EOMONTH(AM$9,0)))*2*AM123-AL173))))</f>
        <v>0.73000000000000131</v>
      </c>
      <c r="AN173" s="33">
        <f>IF(AN$9="",0,IF(OR(AN$9="",DAY(EOMONTH(AN$9,0))=0),0,IF((AN123-((SUMIFS(условия!$206:$206,условия!$8:$8,"&lt;="&amp;AN$9,условия!$9:$9,"&gt;="&amp;AN$9)/DAY(EOMONTH(AN$9,0)))*2*AN123-AM173))&lt;0,AM173+AN123,IF((SUMIFS(условия!$206:$206,условия!$8:$8,"&lt;="&amp;AN$9,условия!$9:$9,"&gt;="&amp;AN$9)/DAY(EOMONTH(AN$9,0)))*2*AN123-AM173&lt;0,0,(SUMIFS(условия!$206:$206,условия!$8:$8,"&lt;="&amp;AN$9,условия!$9:$9,"&gt;="&amp;AN$9)/DAY(EOMONTH(AN$9,0)))*2*AN123-AM173))))</f>
        <v>3.6099999999999994</v>
      </c>
      <c r="AO173" s="33">
        <f>IF(AO$9="",0,IF(OR(AO$9="",DAY(EOMONTH(AO$9,0))=0),0,IF((AO123-((SUMIFS(условия!$206:$206,условия!$8:$8,"&lt;="&amp;AO$9,условия!$9:$9,"&gt;="&amp;AO$9)/DAY(EOMONTH(AO$9,0)))*2*AO123-AN173))&lt;0,AN173+AO123,IF((SUMIFS(условия!$206:$206,условия!$8:$8,"&lt;="&amp;AO$9,условия!$9:$9,"&gt;="&amp;AO$9)/DAY(EOMONTH(AO$9,0)))*2*AO123-AN173&lt;0,0,(SUMIFS(условия!$206:$206,условия!$8:$8,"&lt;="&amp;AO$9,условия!$9:$9,"&gt;="&amp;AO$9)/DAY(EOMONTH(AO$9,0)))*2*AO123-AN173))))</f>
        <v>0.59000000000000075</v>
      </c>
      <c r="AP173" s="33">
        <f>IF(AP$9="",0,IF(OR(AP$9="",DAY(EOMONTH(AP$9,0))=0),0,IF((AP123-((SUMIFS(условия!$206:$206,условия!$8:$8,"&lt;="&amp;AP$9,условия!$9:$9,"&gt;="&amp;AP$9)/DAY(EOMONTH(AP$9,0)))*2*AP123-AO173))&lt;0,AO173+AP123,IF((SUMIFS(условия!$206:$206,условия!$8:$8,"&lt;="&amp;AP$9,условия!$9:$9,"&gt;="&amp;AP$9)/DAY(EOMONTH(AP$9,0)))*2*AP123-AO173&lt;0,0,(SUMIFS(условия!$206:$206,условия!$8:$8,"&lt;="&amp;AP$9,условия!$9:$9,"&gt;="&amp;AP$9)/DAY(EOMONTH(AP$9,0)))*2*AP123-AO173))))</f>
        <v>3.75</v>
      </c>
      <c r="AQ173" s="33">
        <f>IF(AQ$9="",0,IF(OR(AQ$9="",DAY(EOMONTH(AQ$9,0))=0),0,IF((AQ123-((SUMIFS(условия!$206:$206,условия!$8:$8,"&lt;="&amp;AQ$9,условия!$9:$9,"&gt;="&amp;AQ$9)/DAY(EOMONTH(AQ$9,0)))*2*AQ123-AP173))&lt;0,AP173+AQ123,IF((SUMIFS(условия!$206:$206,условия!$8:$8,"&lt;="&amp;AQ$9,условия!$9:$9,"&gt;="&amp;AQ$9)/DAY(EOMONTH(AQ$9,0)))*2*AQ123-AP173&lt;0,0,(SUMIFS(условия!$206:$206,условия!$8:$8,"&lt;="&amp;AQ$9,условия!$9:$9,"&gt;="&amp;AQ$9)/DAY(EOMONTH(AQ$9,0)))*2*AQ123-AP173))))</f>
        <v>0.45000000000000018</v>
      </c>
      <c r="AR173" s="33">
        <f>IF(AR$9="",0,IF(OR(AR$9="",DAY(EOMONTH(AR$9,0))=0),0,IF((AR123-((SUMIFS(условия!$206:$206,условия!$8:$8,"&lt;="&amp;AR$9,условия!$9:$9,"&gt;="&amp;AR$9)/DAY(EOMONTH(AR$9,0)))*2*AR123-AQ173))&lt;0,AQ173+AR123,IF((SUMIFS(условия!$206:$206,условия!$8:$8,"&lt;="&amp;AR$9,условия!$9:$9,"&gt;="&amp;AR$9)/DAY(EOMONTH(AR$9,0)))*2*AR123-AQ173&lt;0,0,(SUMIFS(условия!$206:$206,условия!$8:$8,"&lt;="&amp;AR$9,условия!$9:$9,"&gt;="&amp;AR$9)/DAY(EOMONTH(AR$9,0)))*2*AR123-AQ173))))</f>
        <v>4.1889677419354845</v>
      </c>
      <c r="AS173" s="33">
        <f>IF(AS$9="",0,IF(OR(AS$9="",DAY(EOMONTH(AS$9,0))=0),0,IF((AS123-((SUMIFS(условия!$206:$206,условия!$8:$8,"&lt;="&amp;AS$9,условия!$9:$9,"&gt;="&amp;AS$9)/DAY(EOMONTH(AS$9,0)))*2*AS123-AR173))&lt;0,AR173+AS123,IF((SUMIFS(условия!$206:$206,условия!$8:$8,"&lt;="&amp;AS$9,условия!$9:$9,"&gt;="&amp;AS$9)/DAY(EOMONTH(AS$9,0)))*2*AS123-AR173&lt;0,0,(SUMIFS(условия!$206:$206,условия!$8:$8,"&lt;="&amp;AS$9,условия!$9:$9,"&gt;="&amp;AS$9)/DAY(EOMONTH(AS$9,0)))*2*AS123-AR173))))</f>
        <v>0.94703225806451563</v>
      </c>
      <c r="AT173" s="33">
        <f>IF(AT$9="",0,IF(OR(AT$9="",DAY(EOMONTH(AT$9,0))=0),0,IF((AT123-((SUMIFS(условия!$206:$206,условия!$8:$8,"&lt;="&amp;AT$9,условия!$9:$9,"&gt;="&amp;AT$9)/DAY(EOMONTH(AT$9,0)))*2*AT123-AS173))&lt;0,AS173+AT123,IF((SUMIFS(условия!$206:$206,условия!$8:$8,"&lt;="&amp;AT$9,условия!$9:$9,"&gt;="&amp;AT$9)/DAY(EOMONTH(AT$9,0)))*2*AT123-AS173&lt;0,0,(SUMIFS(условия!$206:$206,условия!$8:$8,"&lt;="&amp;AT$9,условия!$9:$9,"&gt;="&amp;AT$9)/DAY(EOMONTH(AT$9,0)))*2*AT123-AS173))))</f>
        <v>3.691935483870969</v>
      </c>
      <c r="AU173" s="33">
        <f>IF(AU$9="",0,IF(OR(AU$9="",DAY(EOMONTH(AU$9,0))=0),0,IF((AU123-((SUMIFS(условия!$206:$206,условия!$8:$8,"&lt;="&amp;AU$9,условия!$9:$9,"&gt;="&amp;AU$9)/DAY(EOMONTH(AU$9,0)))*2*AU123-AT173))&lt;0,AT173+AU123,IF((SUMIFS(условия!$206:$206,условия!$8:$8,"&lt;="&amp;AU$9,условия!$9:$9,"&gt;="&amp;AU$9)/DAY(EOMONTH(AU$9,0)))*2*AU123-AT173&lt;0,0,(SUMIFS(условия!$206:$206,условия!$8:$8,"&lt;="&amp;AU$9,условия!$9:$9,"&gt;="&amp;AU$9)/DAY(EOMONTH(AU$9,0)))*2*AU123-AT173))))</f>
        <v>1.1016645161290315</v>
      </c>
      <c r="AV173" s="33">
        <f>IF(AV$9="",0,IF(OR(AV$9="",DAY(EOMONTH(AV$9,0))=0),0,IF((AV123-((SUMIFS(условия!$206:$206,условия!$8:$8,"&lt;="&amp;AV$9,условия!$9:$9,"&gt;="&amp;AV$9)/DAY(EOMONTH(AV$9,0)))*2*AV123-AU173))&lt;0,AU173+AV123,IF((SUMIFS(условия!$206:$206,условия!$8:$8,"&lt;="&amp;AV$9,условия!$9:$9,"&gt;="&amp;AV$9)/DAY(EOMONTH(AV$9,0)))*2*AV123-AU173&lt;0,0,(SUMIFS(условия!$206:$206,условия!$8:$8,"&lt;="&amp;AV$9,условия!$9:$9,"&gt;="&amp;AV$9)/DAY(EOMONTH(AV$9,0)))*2*AV123-AU173))))</f>
        <v>3.5373032258064532</v>
      </c>
      <c r="AW173" s="33">
        <f>IF(AW$9="",0,IF(OR(AW$9="",DAY(EOMONTH(AW$9,0))=0),0,IF((AW123-((SUMIFS(условия!$206:$206,условия!$8:$8,"&lt;="&amp;AW$9,условия!$9:$9,"&gt;="&amp;AW$9)/DAY(EOMONTH(AW$9,0)))*2*AW123-AV173))&lt;0,AV173+AW123,IF((SUMIFS(условия!$206:$206,условия!$8:$8,"&lt;="&amp;AW$9,условия!$9:$9,"&gt;="&amp;AW$9)/DAY(EOMONTH(AW$9,0)))*2*AW123-AV173&lt;0,0,(SUMIFS(условия!$206:$206,условия!$8:$8,"&lt;="&amp;AW$9,условия!$9:$9,"&gt;="&amp;AW$9)/DAY(EOMONTH(AW$9,0)))*2*AW123-AV173))))</f>
        <v>1.2562967741935473</v>
      </c>
      <c r="AX173" s="33">
        <f>IF(AX$9="",0,IF(OR(AX$9="",DAY(EOMONTH(AX$9,0))=0),0,IF((AX123-((SUMIFS(условия!$206:$206,условия!$8:$8,"&lt;="&amp;AX$9,условия!$9:$9,"&gt;="&amp;AX$9)/DAY(EOMONTH(AX$9,0)))*2*AX123-AW173))&lt;0,AW173+AX123,IF((SUMIFS(условия!$206:$206,условия!$8:$8,"&lt;="&amp;AX$9,условия!$9:$9,"&gt;="&amp;AX$9)/DAY(EOMONTH(AX$9,0)))*2*AX123-AW173&lt;0,0,(SUMIFS(условия!$206:$206,условия!$8:$8,"&lt;="&amp;AX$9,условия!$9:$9,"&gt;="&amp;AX$9)/DAY(EOMONTH(AX$9,0)))*2*AX123-AW173))))</f>
        <v>3.3826709677419373</v>
      </c>
      <c r="AY173" s="33">
        <f>IF(AY$9="",0,IF(OR(AY$9="",DAY(EOMONTH(AY$9,0))=0),0,IF((AY123-((SUMIFS(условия!$206:$206,условия!$8:$8,"&lt;="&amp;AY$9,условия!$9:$9,"&gt;="&amp;AY$9)/DAY(EOMONTH(AY$9,0)))*2*AY123-AX173))&lt;0,AX173+AY123,IF((SUMIFS(условия!$206:$206,условия!$8:$8,"&lt;="&amp;AY$9,условия!$9:$9,"&gt;="&amp;AY$9)/DAY(EOMONTH(AY$9,0)))*2*AY123-AX173&lt;0,0,(SUMIFS(условия!$206:$206,условия!$8:$8,"&lt;="&amp;AY$9,условия!$9:$9,"&gt;="&amp;AY$9)/DAY(EOMONTH(AY$9,0)))*2*AY123-AX173))))</f>
        <v>1.2562967741935473</v>
      </c>
      <c r="AZ173" s="33">
        <f>IF(AZ$9="",0,IF(OR(AZ$9="",DAY(EOMONTH(AZ$9,0))=0),0,IF((AZ123-((SUMIFS(условия!$206:$206,условия!$8:$8,"&lt;="&amp;AZ$9,условия!$9:$9,"&gt;="&amp;AZ$9)/DAY(EOMONTH(AZ$9,0)))*2*AZ123-AY173))&lt;0,AY173+AZ123,IF((SUMIFS(условия!$206:$206,условия!$8:$8,"&lt;="&amp;AZ$9,условия!$9:$9,"&gt;="&amp;AZ$9)/DAY(EOMONTH(AZ$9,0)))*2*AZ123-AY173&lt;0,0,(SUMIFS(условия!$206:$206,условия!$8:$8,"&lt;="&amp;AZ$9,условия!$9:$9,"&gt;="&amp;AZ$9)/DAY(EOMONTH(AZ$9,0)))*2*AZ123-AY173))))</f>
        <v>3.5373032258064532</v>
      </c>
      <c r="BA173" s="33">
        <f>IF(BA$9="",0,IF(OR(BA$9="",DAY(EOMONTH(BA$9,0))=0),0,IF((BA123-((SUMIFS(условия!$206:$206,условия!$8:$8,"&lt;="&amp;BA$9,условия!$9:$9,"&gt;="&amp;BA$9)/DAY(EOMONTH(BA$9,0)))*2*BA123-AZ173))&lt;0,AZ173+BA123,IF((SUMIFS(условия!$206:$206,условия!$8:$8,"&lt;="&amp;BA$9,условия!$9:$9,"&gt;="&amp;BA$9)/DAY(EOMONTH(BA$9,0)))*2*BA123-AZ173&lt;0,0,(SUMIFS(условия!$206:$206,условия!$8:$8,"&lt;="&amp;BA$9,условия!$9:$9,"&gt;="&amp;BA$9)/DAY(EOMONTH(BA$9,0)))*2*BA123-AZ173))))</f>
        <v>1.1016645161290315</v>
      </c>
      <c r="BB173" s="33">
        <f>IF(BB$9="",0,IF(OR(BB$9="",DAY(EOMONTH(BB$9,0))=0),0,IF((BB123-((SUMIFS(условия!$206:$206,условия!$8:$8,"&lt;="&amp;BB$9,условия!$9:$9,"&gt;="&amp;BB$9)/DAY(EOMONTH(BB$9,0)))*2*BB123-BA173))&lt;0,BA173+BB123,IF((SUMIFS(условия!$206:$206,условия!$8:$8,"&lt;="&amp;BB$9,условия!$9:$9,"&gt;="&amp;BB$9)/DAY(EOMONTH(BB$9,0)))*2*BB123-BA173&lt;0,0,(SUMIFS(условия!$206:$206,условия!$8:$8,"&lt;="&amp;BB$9,условия!$9:$9,"&gt;="&amp;BB$9)/DAY(EOMONTH(BB$9,0)))*2*BB123-BA173))))</f>
        <v>3.691935483870969</v>
      </c>
      <c r="BC173" s="33">
        <f>IF(BC$9="",0,IF(OR(BC$9="",DAY(EOMONTH(BC$9,0))=0),0,IF((BC123-((SUMIFS(условия!$206:$206,условия!$8:$8,"&lt;="&amp;BC$9,условия!$9:$9,"&gt;="&amp;BC$9)/DAY(EOMONTH(BC$9,0)))*2*BC123-BB173))&lt;0,BB173+BC123,IF((SUMIFS(условия!$206:$206,условия!$8:$8,"&lt;="&amp;BC$9,условия!$9:$9,"&gt;="&amp;BC$9)/DAY(EOMONTH(BC$9,0)))*2*BC123-BB173&lt;0,0,(SUMIFS(условия!$206:$206,условия!$8:$8,"&lt;="&amp;BC$9,условия!$9:$9,"&gt;="&amp;BC$9)/DAY(EOMONTH(BC$9,0)))*2*BC123-BB173))))</f>
        <v>0.94703225806451563</v>
      </c>
      <c r="BD173" s="33">
        <f>IF(BD$9="",0,IF(OR(BD$9="",DAY(EOMONTH(BD$9,0))=0),0,IF((BD123-((SUMIFS(условия!$206:$206,условия!$8:$8,"&lt;="&amp;BD$9,условия!$9:$9,"&gt;="&amp;BD$9)/DAY(EOMONTH(BD$9,0)))*2*BD123-BC173))&lt;0,BC173+BD123,IF((SUMIFS(условия!$206:$206,условия!$8:$8,"&lt;="&amp;BD$9,условия!$9:$9,"&gt;="&amp;BD$9)/DAY(EOMONTH(BD$9,0)))*2*BD123-BC173&lt;0,0,(SUMIFS(условия!$206:$206,условия!$8:$8,"&lt;="&amp;BD$9,условия!$9:$9,"&gt;="&amp;BD$9)/DAY(EOMONTH(BD$9,0)))*2*BD123-BC173))))</f>
        <v>4.3761832258064537</v>
      </c>
      <c r="BE173" s="33">
        <f>IF(BE$9="",0,IF(OR(BE$9="",DAY(EOMONTH(BE$9,0))=0),0,IF((BE123-((SUMIFS(условия!$206:$206,условия!$8:$8,"&lt;="&amp;BE$9,условия!$9:$9,"&gt;="&amp;BE$9)/DAY(EOMONTH(BE$9,0)))*2*BE123-BD173))&lt;0,BD173+BE123,IF((SUMIFS(условия!$206:$206,условия!$8:$8,"&lt;="&amp;BE$9,условия!$9:$9,"&gt;="&amp;BE$9)/DAY(EOMONTH(BE$9,0)))*2*BE123-BD173&lt;0,0,(SUMIFS(условия!$206:$206,условия!$8:$8,"&lt;="&amp;BE$9,условия!$9:$9,"&gt;="&amp;BE$9)/DAY(EOMONTH(BE$9,0)))*2*BE123-BD173))))</f>
        <v>1.3141505672969966</v>
      </c>
      <c r="BF173" s="33">
        <f>IF(BF$9="",0,IF(OR(BF$9="",DAY(EOMONTH(BF$9,0))=0),0,IF((BF123-((SUMIFS(условия!$206:$206,условия!$8:$8,"&lt;="&amp;BF$9,условия!$9:$9,"&gt;="&amp;BF$9)/DAY(EOMONTH(BF$9,0)))*2*BF123-BE173))&lt;0,BE173+BF123,IF((SUMIFS(условия!$206:$206,условия!$8:$8,"&lt;="&amp;BF$9,условия!$9:$9,"&gt;="&amp;BF$9)/DAY(EOMONTH(BF$9,0)))*2*BF123-BE173&lt;0,0,(SUMIFS(условия!$206:$206,условия!$8:$8,"&lt;="&amp;BF$9,условия!$9:$9,"&gt;="&amp;BF$9)/DAY(EOMONTH(BF$9,0)))*2*BF123-BE173))))</f>
        <v>4.0090649165739727</v>
      </c>
      <c r="BG173" s="33">
        <f>IF(BG$9="",0,IF(OR(BG$9="",DAY(EOMONTH(BG$9,0))=0),0,IF((BG123-((SUMIFS(условия!$206:$206,условия!$8:$8,"&lt;="&amp;BG$9,условия!$9:$9,"&gt;="&amp;BG$9)/DAY(EOMONTH(BG$9,0)))*2*BG123-BF173))&lt;0,BF173+BG123,IF((SUMIFS(условия!$206:$206,условия!$8:$8,"&lt;="&amp;BG$9,условия!$9:$9,"&gt;="&amp;BG$9)/DAY(EOMONTH(BG$9,0)))*2*BG123-BF173&lt;0,0,(SUMIFS(условия!$206:$206,условия!$8:$8,"&lt;="&amp;BG$9,условия!$9:$9,"&gt;="&amp;BG$9)/DAY(EOMONTH(BG$9,0)))*2*BG123-BF173))))</f>
        <v>1.4915910834260293</v>
      </c>
      <c r="BH173" s="33">
        <f>IF(BH$9="",0,IF(OR(BH$9="",DAY(EOMONTH(BH$9,0))=0),0,IF((BH123-((SUMIFS(условия!$206:$206,условия!$8:$8,"&lt;="&amp;BH$9,условия!$9:$9,"&gt;="&amp;BH$9)/DAY(EOMONTH(BH$9,0)))*2*BH123-BG173))&lt;0,BG173+BH123,IF((SUMIFS(условия!$206:$206,условия!$8:$8,"&lt;="&amp;BH$9,условия!$9:$9,"&gt;="&amp;BH$9)/DAY(EOMONTH(BH$9,0)))*2*BH123-BG173&lt;0,0,(SUMIFS(условия!$206:$206,условия!$8:$8,"&lt;="&amp;BH$9,условия!$9:$9,"&gt;="&amp;BH$9)/DAY(EOMONTH(BH$9,0)))*2*BH123-BG173))))</f>
        <v>3.83162440044494</v>
      </c>
      <c r="BI173" s="33">
        <f>IF(BI$9="",0,IF(OR(BI$9="",DAY(EOMONTH(BI$9,0))=0),0,IF((BI123-((SUMIFS(условия!$206:$206,условия!$8:$8,"&lt;="&amp;BI$9,условия!$9:$9,"&gt;="&amp;BI$9)/DAY(EOMONTH(BI$9,0)))*2*BI123-BH173))&lt;0,BH173+BI123,IF((SUMIFS(условия!$206:$206,условия!$8:$8,"&lt;="&amp;BI$9,условия!$9:$9,"&gt;="&amp;BI$9)/DAY(EOMONTH(BI$9,0)))*2*BI123-BH173&lt;0,0,(SUMIFS(условия!$206:$206,условия!$8:$8,"&lt;="&amp;BI$9,условия!$9:$9,"&gt;="&amp;BI$9)/DAY(EOMONTH(BI$9,0)))*2*BI123-BH173))))</f>
        <v>1.669031599555062</v>
      </c>
      <c r="BJ173" s="33">
        <f>IF(BJ$9="",0,IF(OR(BJ$9="",DAY(EOMONTH(BJ$9,0))=0),0,IF((BJ123-((SUMIFS(условия!$206:$206,условия!$8:$8,"&lt;="&amp;BJ$9,условия!$9:$9,"&gt;="&amp;BJ$9)/DAY(EOMONTH(BJ$9,0)))*2*BJ123-BI173))&lt;0,BI173+BJ123,IF((SUMIFS(условия!$206:$206,условия!$8:$8,"&lt;="&amp;BJ$9,условия!$9:$9,"&gt;="&amp;BJ$9)/DAY(EOMONTH(BJ$9,0)))*2*BJ123-BI173&lt;0,0,(SUMIFS(условия!$206:$206,условия!$8:$8,"&lt;="&amp;BJ$9,условия!$9:$9,"&gt;="&amp;BJ$9)/DAY(EOMONTH(BJ$9,0)))*2*BJ123-BI173))))</f>
        <v>3.6541838843159073</v>
      </c>
      <c r="BK173" s="33">
        <f>IF(BK$9="",0,IF(OR(BK$9="",DAY(EOMONTH(BK$9,0))=0),0,IF((BK123-((SUMIFS(условия!$206:$206,условия!$8:$8,"&lt;="&amp;BK$9,условия!$9:$9,"&gt;="&amp;BK$9)/DAY(EOMONTH(BK$9,0)))*2*BK123-BJ173))&lt;0,BJ173+BK123,IF((SUMIFS(условия!$206:$206,условия!$8:$8,"&lt;="&amp;BK$9,условия!$9:$9,"&gt;="&amp;BK$9)/DAY(EOMONTH(BK$9,0)))*2*BK123-BJ173&lt;0,0,(SUMIFS(условия!$206:$206,условия!$8:$8,"&lt;="&amp;BK$9,условия!$9:$9,"&gt;="&amp;BK$9)/DAY(EOMONTH(BK$9,0)))*2*BK123-BJ173))))</f>
        <v>1.669031599555062</v>
      </c>
      <c r="BL173" s="33">
        <f>IF(BL$9="",0,IF(OR(BL$9="",DAY(EOMONTH(BL$9,0))=0),0,IF((BL123-((SUMIFS(условия!$206:$206,условия!$8:$8,"&lt;="&amp;BL$9,условия!$9:$9,"&gt;="&amp;BL$9)/DAY(EOMONTH(BL$9,0)))*2*BL123-BK173))&lt;0,BK173+BL123,IF((SUMIFS(условия!$206:$206,условия!$8:$8,"&lt;="&amp;BL$9,условия!$9:$9,"&gt;="&amp;BL$9)/DAY(EOMONTH(BL$9,0)))*2*BL123-BK173&lt;0,0,(SUMIFS(условия!$206:$206,условия!$8:$8,"&lt;="&amp;BL$9,условия!$9:$9,"&gt;="&amp;BL$9)/DAY(EOMONTH(BL$9,0)))*2*BL123-BK173))))</f>
        <v>3.83162440044494</v>
      </c>
      <c r="BM173" s="33">
        <f>IF(BM$9="",0,IF(OR(BM$9="",DAY(EOMONTH(BM$9,0))=0),0,IF((BM123-((SUMIFS(условия!$206:$206,условия!$8:$8,"&lt;="&amp;BM$9,условия!$9:$9,"&gt;="&amp;BM$9)/DAY(EOMONTH(BM$9,0)))*2*BM123-BL173))&lt;0,BL173+BM123,IF((SUMIFS(условия!$206:$206,условия!$8:$8,"&lt;="&amp;BM$9,условия!$9:$9,"&gt;="&amp;BM$9)/DAY(EOMONTH(BM$9,0)))*2*BM123-BL173&lt;0,0,(SUMIFS(условия!$206:$206,условия!$8:$8,"&lt;="&amp;BM$9,условия!$9:$9,"&gt;="&amp;BM$9)/DAY(EOMONTH(BM$9,0)))*2*BM123-BL173))))</f>
        <v>1.4915910834260293</v>
      </c>
      <c r="BN173" s="33">
        <f>IF(BN$9="",0,IF(OR(BN$9="",DAY(EOMONTH(BN$9,0))=0),0,IF((BN123-((SUMIFS(условия!$206:$206,условия!$8:$8,"&lt;="&amp;BN$9,условия!$9:$9,"&gt;="&amp;BN$9)/DAY(EOMONTH(BN$9,0)))*2*BN123-BM173))&lt;0,BM173+BN123,IF((SUMIFS(условия!$206:$206,условия!$8:$8,"&lt;="&amp;BN$9,условия!$9:$9,"&gt;="&amp;BN$9)/DAY(EOMONTH(BN$9,0)))*2*BN123-BM173&lt;0,0,(SUMIFS(условия!$206:$206,условия!$8:$8,"&lt;="&amp;BN$9,условия!$9:$9,"&gt;="&amp;BN$9)/DAY(EOMONTH(BN$9,0)))*2*BN123-BM173))))</f>
        <v>4.0090649165739727</v>
      </c>
      <c r="BO173" s="33">
        <f>IF(BO$9="",0,IF(OR(BO$9="",DAY(EOMONTH(BO$9,0))=0),0,IF((BO123-((SUMIFS(условия!$206:$206,условия!$8:$8,"&lt;="&amp;BO$9,условия!$9:$9,"&gt;="&amp;BO$9)/DAY(EOMONTH(BO$9,0)))*2*BO123-BN173))&lt;0,BN173+BO123,IF((SUMIFS(условия!$206:$206,условия!$8:$8,"&lt;="&amp;BO$9,условия!$9:$9,"&gt;="&amp;BO$9)/DAY(EOMONTH(BO$9,0)))*2*BO123-BN173&lt;0,0,(SUMIFS(условия!$206:$206,условия!$8:$8,"&lt;="&amp;BO$9,условия!$9:$9,"&gt;="&amp;BO$9)/DAY(EOMONTH(BO$9,0)))*2*BO123-BN173))))</f>
        <v>1.3141505672969966</v>
      </c>
      <c r="BP173" s="33">
        <f>IF(BP$9="",0,IF(OR(BP$9="",DAY(EOMONTH(BP$9,0))=0),0,IF((BP123-((SUMIFS(условия!$206:$206,условия!$8:$8,"&lt;="&amp;BP$9,условия!$9:$9,"&gt;="&amp;BP$9)/DAY(EOMONTH(BP$9,0)))*2*BP123-BO173))&lt;0,BO173+BP123,IF((SUMIFS(условия!$206:$206,условия!$8:$8,"&lt;="&amp;BP$9,условия!$9:$9,"&gt;="&amp;BP$9)/DAY(EOMONTH(BP$9,0)))*2*BP123-BO173&lt;0,0,(SUMIFS(условия!$206:$206,условия!$8:$8,"&lt;="&amp;BP$9,условия!$9:$9,"&gt;="&amp;BP$9)/DAY(EOMONTH(BP$9,0)))*2*BP123-BO173))))</f>
        <v>4.3816900004449399</v>
      </c>
      <c r="BQ173" s="33">
        <f>IF(BQ$9="",0,IF(OR(BQ$9="",DAY(EOMONTH(BQ$9,0))=0),0,IF((BQ123-((SUMIFS(условия!$206:$206,условия!$8:$8,"&lt;="&amp;BQ$9,условия!$9:$9,"&gt;="&amp;BQ$9)/DAY(EOMONTH(BQ$9,0)))*2*BQ123-BP173))&lt;0,BP173+BQ123,IF((SUMIFS(условия!$206:$206,условия!$8:$8,"&lt;="&amp;BQ$9,условия!$9:$9,"&gt;="&amp;BQ$9)/DAY(EOMONTH(BQ$9,0)))*2*BQ123-BP173&lt;0,0,(SUMIFS(условия!$206:$206,условия!$8:$8,"&lt;="&amp;BQ$9,условия!$9:$9,"&gt;="&amp;BQ$9)/DAY(EOMONTH(BQ$9,0)))*2*BQ123-BP173))))</f>
        <v>1.9244191995550617</v>
      </c>
      <c r="BR173" s="33">
        <f>IF(BR$9="",0,IF(OR(BR$9="",DAY(EOMONTH(BR$9,0))=0),0,IF((BR123-((SUMIFS(условия!$206:$206,условия!$8:$8,"&lt;="&amp;BR$9,условия!$9:$9,"&gt;="&amp;BR$9)/DAY(EOMONTH(BR$9,0)))*2*BR123-BQ173))&lt;0,BQ173+BR123,IF((SUMIFS(условия!$206:$206,условия!$8:$8,"&lt;="&amp;BR$9,условия!$9:$9,"&gt;="&amp;BR$9)/DAY(EOMONTH(BR$9,0)))*2*BR123-BQ173&lt;0,0,(SUMIFS(условия!$206:$206,условия!$8:$8,"&lt;="&amp;BR$9,условия!$9:$9,"&gt;="&amp;BR$9)/DAY(EOMONTH(BR$9,0)))*2*BR123-BQ173))))</f>
        <v>3.7714213681868749</v>
      </c>
      <c r="BS173" s="33">
        <f>IF(BS$9="",0,IF(OR(BS$9="",DAY(EOMONTH(BS$9,0))=0),0,IF((BS123-((SUMIFS(условия!$206:$206,условия!$8:$8,"&lt;="&amp;BS$9,условия!$9:$9,"&gt;="&amp;BS$9)/DAY(EOMONTH(BS$9,0)))*2*BS123-BR173))&lt;0,BR173+BS123,IF((SUMIFS(условия!$206:$206,условия!$8:$8,"&lt;="&amp;BS$9,условия!$9:$9,"&gt;="&amp;BS$9)/DAY(EOMONTH(BS$9,0)))*2*BS123-BR173&lt;0,0,(SUMIFS(условия!$206:$206,условия!$8:$8,"&lt;="&amp;BS$9,условия!$9:$9,"&gt;="&amp;BS$9)/DAY(EOMONTH(BS$9,0)))*2*BS123-BR173))))</f>
        <v>2.1142805518131267</v>
      </c>
      <c r="BT173" s="33">
        <f>IF(BT$9="",0,IF(OR(BT$9="",DAY(EOMONTH(BT$9,0))=0),0,IF((BT123-((SUMIFS(условия!$206:$206,условия!$8:$8,"&lt;="&amp;BT$9,условия!$9:$9,"&gt;="&amp;BT$9)/DAY(EOMONTH(BT$9,0)))*2*BT123-BS173))&lt;0,BS173+BT123,IF((SUMIFS(условия!$206:$206,условия!$8:$8,"&lt;="&amp;BT$9,условия!$9:$9,"&gt;="&amp;BT$9)/DAY(EOMONTH(BT$9,0)))*2*BT123-BS173&lt;0,0,(SUMIFS(условия!$206:$206,условия!$8:$8,"&lt;="&amp;BT$9,условия!$9:$9,"&gt;="&amp;BT$9)/DAY(EOMONTH(BT$9,0)))*2*BT123-BS173))))</f>
        <v>3.5815600159288099</v>
      </c>
      <c r="BU173" s="33">
        <f>IF(BU$9="",0,IF(OR(BU$9="",DAY(EOMONTH(BU$9,0))=0),0,IF((BU123-((SUMIFS(условия!$206:$206,условия!$8:$8,"&lt;="&amp;BU$9,условия!$9:$9,"&gt;="&amp;BU$9)/DAY(EOMONTH(BU$9,0)))*2*BU123-BT173))&lt;0,BT173+BU123,IF((SUMIFS(условия!$206:$206,условия!$8:$8,"&lt;="&amp;BU$9,условия!$9:$9,"&gt;="&amp;BU$9)/DAY(EOMONTH(BU$9,0)))*2*BU123-BT173&lt;0,0,(SUMIFS(условия!$206:$206,условия!$8:$8,"&lt;="&amp;BU$9,условия!$9:$9,"&gt;="&amp;BU$9)/DAY(EOMONTH(BU$9,0)))*2*BU123-BT173))))</f>
        <v>2.3041419040711917</v>
      </c>
      <c r="BV173" s="33">
        <f>IF(BV$9="",0,IF(OR(BV$9="",DAY(EOMONTH(BV$9,0))=0),0,IF((BV123-((SUMIFS(условия!$206:$206,условия!$8:$8,"&lt;="&amp;BV$9,условия!$9:$9,"&gt;="&amp;BV$9)/DAY(EOMONTH(BV$9,0)))*2*BV123-BU173))&lt;0,BU173+BV123,IF((SUMIFS(условия!$206:$206,условия!$8:$8,"&lt;="&amp;BV$9,условия!$9:$9,"&gt;="&amp;BV$9)/DAY(EOMONTH(BV$9,0)))*2*BV123-BU173&lt;0,0,(SUMIFS(условия!$206:$206,условия!$8:$8,"&lt;="&amp;BV$9,условия!$9:$9,"&gt;="&amp;BV$9)/DAY(EOMONTH(BV$9,0)))*2*BV123-BU173))))</f>
        <v>3.3916986636707449</v>
      </c>
      <c r="BW173" s="33">
        <f>IF(BW$9="",0,IF(OR(BW$9="",DAY(EOMONTH(BW$9,0))=0),0,IF((BW123-((SUMIFS(условия!$206:$206,условия!$8:$8,"&lt;="&amp;BW$9,условия!$9:$9,"&gt;="&amp;BW$9)/DAY(EOMONTH(BW$9,0)))*2*BW123-BV173))&lt;0,BV173+BW123,IF((SUMIFS(условия!$206:$206,условия!$8:$8,"&lt;="&amp;BW$9,условия!$9:$9,"&gt;="&amp;BW$9)/DAY(EOMONTH(BW$9,0)))*2*BW123-BV173&lt;0,0,(SUMIFS(условия!$206:$206,условия!$8:$8,"&lt;="&amp;BW$9,условия!$9:$9,"&gt;="&amp;BW$9)/DAY(EOMONTH(BW$9,0)))*2*BW123-BV173))))</f>
        <v>2.3041419040711917</v>
      </c>
      <c r="BX173" s="33">
        <f>IF(BX$9="",0,IF(OR(BX$9="",DAY(EOMONTH(BX$9,0))=0),0,IF((BX123-((SUMIFS(условия!$206:$206,условия!$8:$8,"&lt;="&amp;BX$9,условия!$9:$9,"&gt;="&amp;BX$9)/DAY(EOMONTH(BX$9,0)))*2*BX123-BW173))&lt;0,BW173+BX123,IF((SUMIFS(условия!$206:$206,условия!$8:$8,"&lt;="&amp;BX$9,условия!$9:$9,"&gt;="&amp;BX$9)/DAY(EOMONTH(BX$9,0)))*2*BX123-BW173&lt;0,0,(SUMIFS(условия!$206:$206,условия!$8:$8,"&lt;="&amp;BX$9,условия!$9:$9,"&gt;="&amp;BX$9)/DAY(EOMONTH(BX$9,0)))*2*BX123-BW173))))</f>
        <v>3.5815600159288099</v>
      </c>
      <c r="BY173" s="33">
        <f>IF(BY$9="",0,IF(OR(BY$9="",DAY(EOMONTH(BY$9,0))=0),0,IF((BY123-((SUMIFS(условия!$206:$206,условия!$8:$8,"&lt;="&amp;BY$9,условия!$9:$9,"&gt;="&amp;BY$9)/DAY(EOMONTH(BY$9,0)))*2*BY123-BX173))&lt;0,BX173+BY123,IF((SUMIFS(условия!$206:$206,условия!$8:$8,"&lt;="&amp;BY$9,условия!$9:$9,"&gt;="&amp;BY$9)/DAY(EOMONTH(BY$9,0)))*2*BY123-BX173&lt;0,0,(SUMIFS(условия!$206:$206,условия!$8:$8,"&lt;="&amp;BY$9,условия!$9:$9,"&gt;="&amp;BY$9)/DAY(EOMONTH(BY$9,0)))*2*BY123-BX173))))</f>
        <v>5.2972502808453861</v>
      </c>
      <c r="BZ173" s="33">
        <f>IF(BZ$9="",0,IF(OR(BZ$9="",DAY(EOMONTH(BZ$9,0))=0),0,IF((BZ123-((SUMIFS(условия!$206:$206,условия!$8:$8,"&lt;="&amp;BZ$9,условия!$9:$9,"&gt;="&amp;BZ$9)/DAY(EOMONTH(BZ$9,0)))*2*BZ123-BY173))&lt;0,BY173+BZ123,IF((SUMIFS(условия!$206:$206,условия!$8:$8,"&lt;="&amp;BZ$9,условия!$9:$9,"&gt;="&amp;BZ$9)/DAY(EOMONTH(BZ$9,0)))*2*BZ123-BY173&lt;0,0,(SUMIFS(условия!$206:$206,условия!$8:$8,"&lt;="&amp;BZ$9,условия!$9:$9,"&gt;="&amp;BZ$9)/DAY(EOMONTH(BZ$9,0)))*2*BZ123-BY173))))</f>
        <v>3.8775203591546159</v>
      </c>
      <c r="CA173" s="33">
        <f>IF(CA$9="",0,IF(OR(CA$9="",DAY(EOMONTH(CA$9,0))=0),0,IF((CA123-((SUMIFS(условия!$206:$206,условия!$8:$8,"&lt;="&amp;CA$9,условия!$9:$9,"&gt;="&amp;CA$9)/DAY(EOMONTH(CA$9,0)))*2*CA123-BZ173))&lt;0,BZ173+CA123,IF((SUMIFS(условия!$206:$206,условия!$8:$8,"&lt;="&amp;CA$9,условия!$9:$9,"&gt;="&amp;CA$9)/DAY(EOMONTH(CA$9,0)))*2*CA123-BZ173&lt;0,0,(SUMIFS(условия!$206:$206,условия!$8:$8,"&lt;="&amp;CA$9,условия!$9:$9,"&gt;="&amp;CA$9)/DAY(EOMONTH(CA$9,0)))*2*CA123-BZ173))))</f>
        <v>5.0012899376195801</v>
      </c>
      <c r="CB173" s="33">
        <f>IF(CB$9="",0,IF(OR(CB$9="",DAY(EOMONTH(CB$9,0))=0),0,IF((CB123-((SUMIFS(условия!$206:$206,условия!$8:$8,"&lt;="&amp;CB$9,условия!$9:$9,"&gt;="&amp;CB$9)/DAY(EOMONTH(CB$9,0)))*2*CB123-CA173))&lt;0,CA173+CB123,IF((SUMIFS(условия!$206:$206,условия!$8:$8,"&lt;="&amp;CB$9,условия!$9:$9,"&gt;="&amp;CB$9)/DAY(EOMONTH(CB$9,0)))*2*CB123-CA173&lt;0,0,(SUMIFS(условия!$206:$206,условия!$8:$8,"&lt;="&amp;CB$9,условия!$9:$9,"&gt;="&amp;CB$9)/DAY(EOMONTH(CB$9,0)))*2*CB123-CA173))))</f>
        <v>4.4102489769610678</v>
      </c>
      <c r="CC173" s="33">
        <f>IF(CC$9="",0,IF(OR(CC$9="",DAY(EOMONTH(CC$9,0))=0),0,IF((CC123-((SUMIFS(условия!$206:$206,условия!$8:$8,"&lt;="&amp;CC$9,условия!$9:$9,"&gt;="&amp;CC$9)/DAY(EOMONTH(CC$9,0)))*2*CC123-CB173))&lt;0,CB173+CC123,IF((SUMIFS(условия!$206:$206,условия!$8:$8,"&lt;="&amp;CC$9,условия!$9:$9,"&gt;="&amp;CC$9)/DAY(EOMONTH(CC$9,0)))*2*CC123-CB173&lt;0,0,(SUMIFS(условия!$206:$206,условия!$8:$8,"&lt;="&amp;CC$9,условия!$9:$9,"&gt;="&amp;CC$9)/DAY(EOMONTH(CC$9,0)))*2*CC123-CB173))))</f>
        <v>6.0096691070389348</v>
      </c>
      <c r="CD173" s="33">
        <f>IF(CD$9="",0,IF(OR(CD$9="",DAY(EOMONTH(CD$9,0))=0),0,IF((CD123-((SUMIFS(условия!$206:$206,условия!$8:$8,"&lt;="&amp;CD$9,условия!$9:$9,"&gt;="&amp;CD$9)/DAY(EOMONTH(CD$9,0)))*2*CD123-CC173))&lt;0,CC173+CD123,IF((SUMIFS(условия!$206:$206,условия!$8:$8,"&lt;="&amp;CD$9,условия!$9:$9,"&gt;="&amp;CD$9)/DAY(EOMONTH(CD$9,0)))*2*CD123-CC173&lt;0,0,(SUMIFS(условия!$206:$206,условия!$8:$8,"&lt;="&amp;CD$9,условия!$9:$9,"&gt;="&amp;CD$9)/DAY(EOMONTH(CD$9,0)))*2*CD123-CC173))))</f>
        <v>3.4018698075417131</v>
      </c>
      <c r="CE173" s="33">
        <f>IF(CE$9="",0,IF(OR(CE$9="",DAY(EOMONTH(CE$9,0))=0),0,IF((CE123-((SUMIFS(условия!$206:$206,условия!$8:$8,"&lt;="&amp;CE$9,условия!$9:$9,"&gt;="&amp;CE$9)/DAY(EOMONTH(CE$9,0)))*2*CE123-CD173))&lt;0,CD173+CE123,IF((SUMIFS(условия!$206:$206,условия!$8:$8,"&lt;="&amp;CE$9,условия!$9:$9,"&gt;="&amp;CE$9)/DAY(EOMONTH(CE$9,0)))*2*CE123-CD173&lt;0,0,(SUMIFS(условия!$206:$206,условия!$8:$8,"&lt;="&amp;CE$9,условия!$9:$9,"&gt;="&amp;CE$9)/DAY(EOMONTH(CE$9,0)))*2*CE123-CD173))))</f>
        <v>6.3233870708582884</v>
      </c>
      <c r="CF173" s="33">
        <f>IF(CF$9="",0,IF(OR(CF$9="",DAY(EOMONTH(CF$9,0))=0),0,IF((CF123-((SUMIFS(условия!$206:$206,условия!$8:$8,"&lt;="&amp;CF$9,условия!$9:$9,"&gt;="&amp;CF$9)/DAY(EOMONTH(CF$9,0)))*2*CF123-CE173))&lt;0,CE173+CF123,IF((SUMIFS(условия!$206:$206,условия!$8:$8,"&lt;="&amp;CF$9,условия!$9:$9,"&gt;="&amp;CF$9)/DAY(EOMONTH(CF$9,0)))*2*CF123-CE173&lt;0,0,(SUMIFS(условия!$206:$206,условия!$8:$8,"&lt;="&amp;CF$9,условия!$9:$9,"&gt;="&amp;CF$9)/DAY(EOMONTH(CF$9,0)))*2*CF123-CE173))))</f>
        <v>3.0881518437223594</v>
      </c>
      <c r="CG173" s="33">
        <f>IF(CG$9="",0,IF(OR(CG$9="",DAY(EOMONTH(CG$9,0))=0),0,IF((CG123-((SUMIFS(условия!$206:$206,условия!$8:$8,"&lt;="&amp;CG$9,условия!$9:$9,"&gt;="&amp;CG$9)/DAY(EOMONTH(CG$9,0)))*2*CG123-CF173))&lt;0,CF173+CG123,IF((SUMIFS(условия!$206:$206,условия!$8:$8,"&lt;="&amp;CG$9,условия!$9:$9,"&gt;="&amp;CG$9)/DAY(EOMONTH(CG$9,0)))*2*CG123-CF173&lt;0,0,(SUMIFS(условия!$206:$206,условия!$8:$8,"&lt;="&amp;CG$9,условия!$9:$9,"&gt;="&amp;CG$9)/DAY(EOMONTH(CG$9,0)))*2*CG123-CF173))))</f>
        <v>6.6371050346776421</v>
      </c>
      <c r="CH173" s="33">
        <f>IF(CH$9="",0,IF(OR(CH$9="",DAY(EOMONTH(CH$9,0))=0),0,IF((CH123-((SUMIFS(условия!$206:$206,условия!$8:$8,"&lt;="&amp;CH$9,условия!$9:$9,"&gt;="&amp;CH$9)/DAY(EOMONTH(CH$9,0)))*2*CH123-CG173))&lt;0,CG173+CH123,IF((SUMIFS(условия!$206:$206,условия!$8:$8,"&lt;="&amp;CH$9,условия!$9:$9,"&gt;="&amp;CH$9)/DAY(EOMONTH(CH$9,0)))*2*CH123-CG173&lt;0,0,(SUMIFS(условия!$206:$206,условия!$8:$8,"&lt;="&amp;CH$9,условия!$9:$9,"&gt;="&amp;CH$9)/DAY(EOMONTH(CH$9,0)))*2*CH123-CG173))))</f>
        <v>2.7744338799030057</v>
      </c>
      <c r="CI173" s="33">
        <f>IF(CI$9="",0,IF(OR(CI$9="",DAY(EOMONTH(CI$9,0))=0),0,IF((CI123-((SUMIFS(условия!$206:$206,условия!$8:$8,"&lt;="&amp;CI$9,условия!$9:$9,"&gt;="&amp;CI$9)/DAY(EOMONTH(CI$9,0)))*2*CI123-CH173))&lt;0,CH173+CI123,IF((SUMIFS(условия!$206:$206,условия!$8:$8,"&lt;="&amp;CI$9,условия!$9:$9,"&gt;="&amp;CI$9)/DAY(EOMONTH(CI$9,0)))*2*CI123-CH173&lt;0,0,(SUMIFS(условия!$206:$206,условия!$8:$8,"&lt;="&amp;CI$9,условия!$9:$9,"&gt;="&amp;CI$9)/DAY(EOMONTH(CI$9,0)))*2*CI123-CH173))))</f>
        <v>6.6371050346776421</v>
      </c>
      <c r="CJ173" s="33">
        <f>IF(CJ$9="",0,IF(OR(CJ$9="",DAY(EOMONTH(CJ$9,0))=0),0,IF((CJ123-((SUMIFS(условия!$206:$206,условия!$8:$8,"&lt;="&amp;CJ$9,условия!$9:$9,"&gt;="&amp;CJ$9)/DAY(EOMONTH(CJ$9,0)))*2*CJ123-CI173))&lt;0,CI173+CJ123,IF((SUMIFS(условия!$206:$206,условия!$8:$8,"&lt;="&amp;CJ$9,условия!$9:$9,"&gt;="&amp;CJ$9)/DAY(EOMONTH(CJ$9,0)))*2*CJ123-CI173&lt;0,0,(SUMIFS(условия!$206:$206,условия!$8:$8,"&lt;="&amp;CJ$9,условия!$9:$9,"&gt;="&amp;CJ$9)/DAY(EOMONTH(CJ$9,0)))*2*CJ123-CI173))))</f>
        <v>3.0881518437223594</v>
      </c>
      <c r="CK173" s="33">
        <f>IF(CK$9="",0,IF(OR(CK$9="",DAY(EOMONTH(CK$9,0))=0),0,IF((CK123-((SUMIFS(условия!$206:$206,условия!$8:$8,"&lt;="&amp;CK$9,условия!$9:$9,"&gt;="&amp;CK$9)/DAY(EOMONTH(CK$9,0)))*2*CK123-CJ173))&lt;0,CJ173+CK123,IF((SUMIFS(условия!$206:$206,условия!$8:$8,"&lt;="&amp;CK$9,условия!$9:$9,"&gt;="&amp;CK$9)/DAY(EOMONTH(CK$9,0)))*2*CK123-CJ173&lt;0,0,(SUMIFS(условия!$206:$206,условия!$8:$8,"&lt;="&amp;CK$9,условия!$9:$9,"&gt;="&amp;CK$9)/DAY(EOMONTH(CK$9,0)))*2*CK123-CJ173))))</f>
        <v>6.3233870708582884</v>
      </c>
      <c r="CL173" s="33">
        <f>IF(CL$9="",0,IF(OR(CL$9="",DAY(EOMONTH(CL$9,0))=0),0,IF((CL123-((SUMIFS(условия!$206:$206,условия!$8:$8,"&lt;="&amp;CL$9,условия!$9:$9,"&gt;="&amp;CL$9)/DAY(EOMONTH(CL$9,0)))*2*CL123-CK173))&lt;0,CK173+CL123,IF((SUMIFS(условия!$206:$206,условия!$8:$8,"&lt;="&amp;CL$9,условия!$9:$9,"&gt;="&amp;CL$9)/DAY(EOMONTH(CL$9,0)))*2*CL123-CK173&lt;0,0,(SUMIFS(условия!$206:$206,условия!$8:$8,"&lt;="&amp;CL$9,условия!$9:$9,"&gt;="&amp;CL$9)/DAY(EOMONTH(CL$9,0)))*2*CL123-CK173))))</f>
        <v>3.4018698075417131</v>
      </c>
      <c r="CM173" s="33">
        <f>IF(CM$9="",0,IF(OR(CM$9="",DAY(EOMONTH(CM$9,0))=0),0,IF((CM123-((SUMIFS(условия!$206:$206,условия!$8:$8,"&lt;="&amp;CM$9,условия!$9:$9,"&gt;="&amp;CM$9)/DAY(EOMONTH(CM$9,0)))*2*CM123-CL173))&lt;0,CL173+CM123,IF((SUMIFS(условия!$206:$206,условия!$8:$8,"&lt;="&amp;CM$9,условия!$9:$9,"&gt;="&amp;CM$9)/DAY(EOMONTH(CM$9,0)))*2*CM123-CL173&lt;0,0,(SUMIFS(условия!$206:$206,условия!$8:$8,"&lt;="&amp;CM$9,условия!$9:$9,"&gt;="&amp;CM$9)/DAY(EOMONTH(CM$9,0)))*2*CM123-CL173))))</f>
        <v>6.0096691070389348</v>
      </c>
      <c r="CN173" s="33">
        <f>IF(CN$9="",0,IF(OR(CN$9="",DAY(EOMONTH(CN$9,0))=0),0,IF((CN123-((SUMIFS(условия!$206:$206,условия!$8:$8,"&lt;="&amp;CN$9,условия!$9:$9,"&gt;="&amp;CN$9)/DAY(EOMONTH(CN$9,0)))*2*CN123-CM173))&lt;0,CM173+CN123,IF((SUMIFS(условия!$206:$206,условия!$8:$8,"&lt;="&amp;CN$9,условия!$9:$9,"&gt;="&amp;CN$9)/DAY(EOMONTH(CN$9,0)))*2*CN123-CM173&lt;0,0,(SUMIFS(условия!$206:$206,условия!$8:$8,"&lt;="&amp;CN$9,условия!$9:$9,"&gt;="&amp;CN$9)/DAY(EOMONTH(CN$9,0)))*2*CN123-CM173))))</f>
        <v>3.8724467532707472</v>
      </c>
      <c r="CO173" s="33">
        <f>IF(CO$9="",0,IF(OR(CO$9="",DAY(EOMONTH(CO$9,0))=0),0,IF((CO123-((SUMIFS(условия!$206:$206,условия!$8:$8,"&lt;="&amp;CO$9,условия!$9:$9,"&gt;="&amp;CO$9)/DAY(EOMONTH(CO$9,0)))*2*CO123-CN173))&lt;0,CN173+CO123,IF((SUMIFS(условия!$206:$206,условия!$8:$8,"&lt;="&amp;CO$9,условия!$9:$9,"&gt;="&amp;CO$9)/DAY(EOMONTH(CO$9,0)))*2*CO123-CN173&lt;0,0,(SUMIFS(условия!$206:$206,условия!$8:$8,"&lt;="&amp;CO$9,условия!$9:$9,"&gt;="&amp;CO$9)/DAY(EOMONTH(CO$9,0)))*2*CO123-CN173))))</f>
        <v>7.0684672349292565</v>
      </c>
      <c r="CP173" s="33">
        <f>IF(CP$9="",0,IF(OR(CP$9="",DAY(EOMONTH(CP$9,0))=0),0,IF((CP123-((SUMIFS(условия!$206:$206,условия!$8:$8,"&lt;="&amp;CP$9,условия!$9:$9,"&gt;="&amp;CP$9)/DAY(EOMONTH(CP$9,0)))*2*CP123-CO173))&lt;0,CO173+CP123,IF((SUMIFS(условия!$206:$206,условия!$8:$8,"&lt;="&amp;CP$9,условия!$9:$9,"&gt;="&amp;CP$9)/DAY(EOMONTH(CP$9,0)))*2*CP123-CO173&lt;0,0,(SUMIFS(условия!$206:$206,условия!$8:$8,"&lt;="&amp;CP$9,условия!$9:$9,"&gt;="&amp;CP$9)/DAY(EOMONTH(CP$9,0)))*2*CP123-CO173))))</f>
        <v>2.8136486253804254</v>
      </c>
      <c r="CQ173" s="33">
        <f>IF(CQ$9="",0,IF(OR(CQ$9="",DAY(EOMONTH(CQ$9,0))=0),0,IF((CQ123-((SUMIFS(условия!$206:$206,условия!$8:$8,"&lt;="&amp;CQ$9,условия!$9:$9,"&gt;="&amp;CQ$9)/DAY(EOMONTH(CQ$9,0)))*2*CQ123-CP173))&lt;0,CP173+CQ123,IF((SUMIFS(условия!$206:$206,условия!$8:$8,"&lt;="&amp;CQ$9,условия!$9:$9,"&gt;="&amp;CQ$9)/DAY(EOMONTH(CQ$9,0)))*2*CQ123-CP173&lt;0,0,(SUMIFS(условия!$206:$206,условия!$8:$8,"&lt;="&amp;CQ$9,условия!$9:$9,"&gt;="&amp;CQ$9)/DAY(EOMONTH(CQ$9,0)))*2*CQ123-CP173))))</f>
        <v>7.3978710969395785</v>
      </c>
      <c r="CR173" s="33">
        <f>IF(CR$9="",0,IF(OR(CR$9="",DAY(EOMONTH(CR$9,0))=0),0,IF((CR123-((SUMIFS(условия!$206:$206,условия!$8:$8,"&lt;="&amp;CR$9,условия!$9:$9,"&gt;="&amp;CR$9)/DAY(EOMONTH(CR$9,0)))*2*CR123-CQ173))&lt;0,CQ173+CR123,IF((SUMIFS(условия!$206:$206,условия!$8:$8,"&lt;="&amp;CR$9,условия!$9:$9,"&gt;="&amp;CR$9)/DAY(EOMONTH(CR$9,0)))*2*CR123-CQ173&lt;0,0,(SUMIFS(условия!$206:$206,условия!$8:$8,"&lt;="&amp;CR$9,условия!$9:$9,"&gt;="&amp;CR$9)/DAY(EOMONTH(CR$9,0)))*2*CR123-CQ173))))</f>
        <v>2.4842447633701035</v>
      </c>
      <c r="CS173" s="33">
        <f>IF(CS$9="",0,IF(OR(CS$9="",DAY(EOMONTH(CS$9,0))=0),0,IF((CS123-((SUMIFS(условия!$206:$206,условия!$8:$8,"&lt;="&amp;CS$9,условия!$9:$9,"&gt;="&amp;CS$9)/DAY(EOMONTH(CS$9,0)))*2*CS123-CR173))&lt;0,CR173+CS123,IF((SUMIFS(условия!$206:$206,условия!$8:$8,"&lt;="&amp;CS$9,условия!$9:$9,"&gt;="&amp;CS$9)/DAY(EOMONTH(CS$9,0)))*2*CS123-CR173&lt;0,0,(SUMIFS(условия!$206:$206,условия!$8:$8,"&lt;="&amp;CS$9,условия!$9:$9,"&gt;="&amp;CS$9)/DAY(EOMONTH(CS$9,0)))*2*CS123-CR173))))</f>
        <v>7.7272749589499004</v>
      </c>
      <c r="CT173" s="33">
        <f>IF(CT$9="",0,IF(OR(CT$9="",DAY(EOMONTH(CT$9,0))=0),0,IF((CT123-((SUMIFS(условия!$206:$206,условия!$8:$8,"&lt;="&amp;CT$9,условия!$9:$9,"&gt;="&amp;CT$9)/DAY(EOMONTH(CT$9,0)))*2*CT123-CS173))&lt;0,CS173+CT123,IF((SUMIFS(условия!$206:$206,условия!$8:$8,"&lt;="&amp;CT$9,условия!$9:$9,"&gt;="&amp;CT$9)/DAY(EOMONTH(CT$9,0)))*2*CT123-CS173&lt;0,0,(SUMIFS(условия!$206:$206,условия!$8:$8,"&lt;="&amp;CT$9,условия!$9:$9,"&gt;="&amp;CT$9)/DAY(EOMONTH(CT$9,0)))*2*CT123-CS173))))</f>
        <v>2.1548409013597816</v>
      </c>
      <c r="CU173" s="33">
        <f>IF(CU$9="",0,IF(OR(CU$9="",DAY(EOMONTH(CU$9,0))=0),0,IF((CU123-((SUMIFS(условия!$206:$206,условия!$8:$8,"&lt;="&amp;CU$9,условия!$9:$9,"&gt;="&amp;CU$9)/DAY(EOMONTH(CU$9,0)))*2*CU123-CT173))&lt;0,CT173+CU123,IF((SUMIFS(условия!$206:$206,условия!$8:$8,"&lt;="&amp;CU$9,условия!$9:$9,"&gt;="&amp;CU$9)/DAY(EOMONTH(CU$9,0)))*2*CU123-CT173&lt;0,0,(SUMIFS(условия!$206:$206,условия!$8:$8,"&lt;="&amp;CU$9,условия!$9:$9,"&gt;="&amp;CU$9)/DAY(EOMONTH(CU$9,0)))*2*CU123-CT173))))</f>
        <v>7.7272749589499004</v>
      </c>
      <c r="CV173" s="33">
        <f>IF(CV$9="",0,IF(OR(CV$9="",DAY(EOMONTH(CV$9,0))=0),0,IF((CV123-((SUMIFS(условия!$206:$206,условия!$8:$8,"&lt;="&amp;CV$9,условия!$9:$9,"&gt;="&amp;CV$9)/DAY(EOMONTH(CV$9,0)))*2*CV123-CU173))&lt;0,CU173+CV123,IF((SUMIFS(условия!$206:$206,условия!$8:$8,"&lt;="&amp;CV$9,условия!$9:$9,"&gt;="&amp;CV$9)/DAY(EOMONTH(CV$9,0)))*2*CV123-CU173&lt;0,0,(SUMIFS(условия!$206:$206,условия!$8:$8,"&lt;="&amp;CV$9,условия!$9:$9,"&gt;="&amp;CV$9)/DAY(EOMONTH(CV$9,0)))*2*CV123-CU173))))</f>
        <v>2.4842447633701035</v>
      </c>
      <c r="CW173" s="33">
        <f>IF(CW$9="",0,IF(OR(CW$9="",DAY(EOMONTH(CW$9,0))=0),0,IF((CW123-((SUMIFS(условия!$206:$206,условия!$8:$8,"&lt;="&amp;CW$9,условия!$9:$9,"&gt;="&amp;CW$9)/DAY(EOMONTH(CW$9,0)))*2*CW123-CV173))&lt;0,CV173+CW123,IF((SUMIFS(условия!$206:$206,условия!$8:$8,"&lt;="&amp;CW$9,условия!$9:$9,"&gt;="&amp;CW$9)/DAY(EOMONTH(CW$9,0)))*2*CW123-CV173&lt;0,0,(SUMIFS(условия!$206:$206,условия!$8:$8,"&lt;="&amp;CW$9,условия!$9:$9,"&gt;="&amp;CW$9)/DAY(EOMONTH(CW$9,0)))*2*CW123-CV173))))</f>
        <v>7.3978710969395785</v>
      </c>
      <c r="CX173" s="33">
        <f>IF(CX$9="",0,IF(OR(CX$9="",DAY(EOMONTH(CX$9,0))=0),0,IF((CX123-((SUMIFS(условия!$206:$206,условия!$8:$8,"&lt;="&amp;CX$9,условия!$9:$9,"&gt;="&amp;CX$9)/DAY(EOMONTH(CX$9,0)))*2*CX123-CW173))&lt;0,CW173+CX123,IF((SUMIFS(условия!$206:$206,условия!$8:$8,"&lt;="&amp;CX$9,условия!$9:$9,"&gt;="&amp;CX$9)/DAY(EOMONTH(CX$9,0)))*2*CX123-CW173&lt;0,0,(SUMIFS(условия!$206:$206,условия!$8:$8,"&lt;="&amp;CX$9,условия!$9:$9,"&gt;="&amp;CX$9)/DAY(EOMONTH(CX$9,0)))*2*CX123-CW173))))</f>
        <v>2.8136486253804254</v>
      </c>
      <c r="CY173" s="33">
        <f>IF(CY$9="",0,IF(OR(CY$9="",DAY(EOMONTH(CY$9,0))=0),0,IF((CY123-((SUMIFS(условия!$206:$206,условия!$8:$8,"&lt;="&amp;CY$9,условия!$9:$9,"&gt;="&amp;CY$9)/DAY(EOMONTH(CY$9,0)))*2*CY123-CX173))&lt;0,CX173+CY123,IF((SUMIFS(условия!$206:$206,условия!$8:$8,"&lt;="&amp;CY$9,условия!$9:$9,"&gt;="&amp;CY$9)/DAY(EOMONTH(CY$9,0)))*2*CY123-CX173&lt;0,0,(SUMIFS(условия!$206:$206,условия!$8:$8,"&lt;="&amp;CY$9,условия!$9:$9,"&gt;="&amp;CY$9)/DAY(EOMONTH(CY$9,0)))*2*CY123-CX173))))</f>
        <v>7.0684672349292565</v>
      </c>
      <c r="CZ173" s="33">
        <f>IF(CZ$9="",0,IF(OR(CZ$9="",DAY(EOMONTH(CZ$9,0))=0),0,IF((CZ123-((SUMIFS(условия!$206:$206,условия!$8:$8,"&lt;="&amp;CZ$9,условия!$9:$9,"&gt;="&amp;CZ$9)/DAY(EOMONTH(CZ$9,0)))*2*CZ123-CY173))&lt;0,CY173+CZ123,IF((SUMIFS(условия!$206:$206,условия!$8:$8,"&lt;="&amp;CZ$9,условия!$9:$9,"&gt;="&amp;CZ$9)/DAY(EOMONTH(CZ$9,0)))*2*CZ123-CY173&lt;0,0,(SUMIFS(условия!$206:$206,условия!$8:$8,"&lt;="&amp;CZ$9,условия!$9:$9,"&gt;="&amp;CZ$9)/DAY(EOMONTH(CZ$9,0)))*2*CZ123-CY173))))</f>
        <v>3.2089332597928131</v>
      </c>
      <c r="DA173" s="33">
        <f>IF(DA$9="",0,IF(OR(DA$9="",DAY(EOMONTH(DA$9,0))=0),0,IF((DA123-((SUMIFS(условия!$206:$206,условия!$8:$8,"&lt;="&amp;DA$9,условия!$9:$9,"&gt;="&amp;DA$9)/DAY(EOMONTH(DA$9,0)))*2*DA123-CZ173))&lt;0,CZ173+DA123,IF((SUMIFS(условия!$206:$206,условия!$8:$8,"&lt;="&amp;DA$9,условия!$9:$9,"&gt;="&amp;DA$9)/DAY(EOMONTH(DA$9,0)))*2*DA123-CZ173&lt;0,0,(SUMIFS(условия!$206:$206,условия!$8:$8,"&lt;="&amp;DA$9,условия!$9:$9,"&gt;="&amp;DA$9)/DAY(EOMONTH(DA$9,0)))*2*DA123-CZ173))))</f>
        <v>7.7772534759445708</v>
      </c>
      <c r="DB173" s="33">
        <f>IF(DB$9="",0,IF(OR(DB$9="",DAY(EOMONTH(DB$9,0))=0),0,IF((DB123-((SUMIFS(условия!$206:$206,условия!$8:$8,"&lt;="&amp;DB$9,условия!$9:$9,"&gt;="&amp;DB$9)/DAY(EOMONTH(DB$9,0)))*2*DB123-DA173))&lt;0,DA173+DB123,IF((SUMIFS(условия!$206:$206,условия!$8:$8,"&lt;="&amp;DB$9,условия!$9:$9,"&gt;="&amp;DB$9)/DAY(EOMONTH(DB$9,0)))*2*DB123-DA173&lt;0,0,(SUMIFS(условия!$206:$206,условия!$8:$8,"&lt;="&amp;DB$9,условия!$9:$9,"&gt;="&amp;DB$9)/DAY(EOMONTH(DB$9,0)))*2*DB123-DA173))))</f>
        <v>2.5001470187774988</v>
      </c>
      <c r="DC173" s="33">
        <f>IF(DC$9="",0,IF(OR(DC$9="",DAY(EOMONTH(DC$9,0))=0),0,IF((DC123-((SUMIFS(условия!$206:$206,условия!$8:$8,"&lt;="&amp;DC$9,условия!$9:$9,"&gt;="&amp;DC$9)/DAY(EOMONTH(DC$9,0)))*2*DC123-DB173))&lt;0,DB173+DC123,IF((SUMIFS(условия!$206:$206,условия!$8:$8,"&lt;="&amp;DC$9,условия!$9:$9,"&gt;="&amp;DC$9)/DAY(EOMONTH(DC$9,0)))*2*DC123-DB173&lt;0,0,(SUMIFS(условия!$206:$206,условия!$8:$8,"&lt;="&amp;DC$9,условия!$9:$9,"&gt;="&amp;DC$9)/DAY(EOMONTH(DC$9,0)))*2*DC123-DB173))))</f>
        <v>8.1198334924353066</v>
      </c>
      <c r="DD173" s="33">
        <f>IF(DD$9="",0,IF(OR(DD$9="",DAY(EOMONTH(DD$9,0))=0),0,IF((DD123-((SUMIFS(условия!$206:$206,условия!$8:$8,"&lt;="&amp;DD$9,условия!$9:$9,"&gt;="&amp;DD$9)/DAY(EOMONTH(DD$9,0)))*2*DD123-DC173))&lt;0,DC173+DD123,IF((SUMIFS(условия!$206:$206,условия!$8:$8,"&lt;="&amp;DD$9,условия!$9:$9,"&gt;="&amp;DD$9)/DAY(EOMONTH(DD$9,0)))*2*DD123-DC173&lt;0,0,(SUMIFS(условия!$206:$206,условия!$8:$8,"&lt;="&amp;DD$9,условия!$9:$9,"&gt;="&amp;DD$9)/DAY(EOMONTH(DD$9,0)))*2*DD123-DC173))))</f>
        <v>2.157567002286763</v>
      </c>
      <c r="DE173" s="33">
        <f>IF(DE$9="",0,IF(OR(DE$9="",DAY(EOMONTH(DE$9,0))=0),0,IF((DE123-((SUMIFS(условия!$206:$206,условия!$8:$8,"&lt;="&amp;DE$9,условия!$9:$9,"&gt;="&amp;DE$9)/DAY(EOMONTH(DE$9,0)))*2*DE123-DD173))&lt;0,DD173+DE123,IF((SUMIFS(условия!$206:$206,условия!$8:$8,"&lt;="&amp;DE$9,условия!$9:$9,"&gt;="&amp;DE$9)/DAY(EOMONTH(DE$9,0)))*2*DE123-DD173&lt;0,0,(SUMIFS(условия!$206:$206,условия!$8:$8,"&lt;="&amp;DE$9,условия!$9:$9,"&gt;="&amp;DE$9)/DAY(EOMONTH(DE$9,0)))*2*DE123-DD173))))</f>
        <v>8.4624135089260424</v>
      </c>
      <c r="DF173" s="33">
        <f>IF(DF$9="",0,IF(OR(DF$9="",DAY(EOMONTH(DF$9,0))=0),0,IF((DF123-((SUMIFS(условия!$206:$206,условия!$8:$8,"&lt;="&amp;DF$9,условия!$9:$9,"&gt;="&amp;DF$9)/DAY(EOMONTH(DF$9,0)))*2*DF123-DE173))&lt;0,DE173+DF123,IF((SUMIFS(условия!$206:$206,условия!$8:$8,"&lt;="&amp;DF$9,условия!$9:$9,"&gt;="&amp;DF$9)/DAY(EOMONTH(DF$9,0)))*2*DF123-DE173&lt;0,0,(SUMIFS(условия!$206:$206,условия!$8:$8,"&lt;="&amp;DF$9,условия!$9:$9,"&gt;="&amp;DF$9)/DAY(EOMONTH(DF$9,0)))*2*DF123-DE173))))</f>
        <v>1.8149869857960272</v>
      </c>
      <c r="DG173" s="33">
        <f>IF(DG$9="",0,IF(OR(DG$9="",DAY(EOMONTH(DG$9,0))=0),0,IF((DG123-((SUMIFS(условия!$206:$206,условия!$8:$8,"&lt;="&amp;DG$9,условия!$9:$9,"&gt;="&amp;DG$9)/DAY(EOMONTH(DG$9,0)))*2*DG123-DF173))&lt;0,DF173+DG123,IF((SUMIFS(условия!$206:$206,условия!$8:$8,"&lt;="&amp;DG$9,условия!$9:$9,"&gt;="&amp;DG$9)/DAY(EOMONTH(DG$9,0)))*2*DG123-DF173&lt;0,0,(SUMIFS(условия!$206:$206,условия!$8:$8,"&lt;="&amp;DG$9,условия!$9:$9,"&gt;="&amp;DG$9)/DAY(EOMONTH(DG$9,0)))*2*DG123-DF173))))</f>
        <v>8.4624135089260424</v>
      </c>
      <c r="DH173" s="33">
        <f>IF(DH$9="",0,IF(OR(DH$9="",DAY(EOMONTH(DH$9,0))=0),0,IF((DH123-((SUMIFS(условия!$206:$206,условия!$8:$8,"&lt;="&amp;DH$9,условия!$9:$9,"&gt;="&amp;DH$9)/DAY(EOMONTH(DH$9,0)))*2*DH123-DG173))&lt;0,DG173+DH123,IF((SUMIFS(условия!$206:$206,условия!$8:$8,"&lt;="&amp;DH$9,условия!$9:$9,"&gt;="&amp;DH$9)/DAY(EOMONTH(DH$9,0)))*2*DH123-DG173&lt;0,0,(SUMIFS(условия!$206:$206,условия!$8:$8,"&lt;="&amp;DH$9,условия!$9:$9,"&gt;="&amp;DH$9)/DAY(EOMONTH(DH$9,0)))*2*DH123-DG173))))</f>
        <v>2.157567002286763</v>
      </c>
      <c r="DI173" s="33">
        <f>IF(DI$9="",0,IF(OR(DI$9="",DAY(EOMONTH(DI$9,0))=0),0,IF((DI123-((SUMIFS(условия!$206:$206,условия!$8:$8,"&lt;="&amp;DI$9,условия!$9:$9,"&gt;="&amp;DI$9)/DAY(EOMONTH(DI$9,0)))*2*DI123-DH173))&lt;0,DH173+DI123,IF((SUMIFS(условия!$206:$206,условия!$8:$8,"&lt;="&amp;DI$9,условия!$9:$9,"&gt;="&amp;DI$9)/DAY(EOMONTH(DI$9,0)))*2*DI123-DH173&lt;0,0,(SUMIFS(условия!$206:$206,условия!$8:$8,"&lt;="&amp;DI$9,условия!$9:$9,"&gt;="&amp;DI$9)/DAY(EOMONTH(DI$9,0)))*2*DI123-DH173))))</f>
        <v>8.1198334924353066</v>
      </c>
      <c r="DJ173" s="33">
        <f>IF(DJ$9="",0,IF(OR(DJ$9="",DAY(EOMONTH(DJ$9,0))=0),0,IF((DJ123-((SUMIFS(условия!$206:$206,условия!$8:$8,"&lt;="&amp;DJ$9,условия!$9:$9,"&gt;="&amp;DJ$9)/DAY(EOMONTH(DJ$9,0)))*2*DJ123-DI173))&lt;0,DI173+DJ123,IF((SUMIFS(условия!$206:$206,условия!$8:$8,"&lt;="&amp;DJ$9,условия!$9:$9,"&gt;="&amp;DJ$9)/DAY(EOMONTH(DJ$9,0)))*2*DJ123-DI173&lt;0,0,(SUMIFS(условия!$206:$206,условия!$8:$8,"&lt;="&amp;DJ$9,условия!$9:$9,"&gt;="&amp;DJ$9)/DAY(EOMONTH(DJ$9,0)))*2*DJ123-DI173))))</f>
        <v>6.3073098435519004</v>
      </c>
      <c r="DK173" s="33">
        <f>IF(DK$9="",0,IF(OR(DK$9="",DAY(EOMONTH(DK$9,0))=0),0,IF((DK123-((SUMIFS(условия!$206:$206,условия!$8:$8,"&lt;="&amp;DK$9,условия!$9:$9,"&gt;="&amp;DK$9)/DAY(EOMONTH(DK$9,0)))*2*DK123-DJ173))&lt;0,DJ173+DK123,IF((SUMIFS(условия!$206:$206,условия!$8:$8,"&lt;="&amp;DK$9,условия!$9:$9,"&gt;="&amp;DK$9)/DAY(EOMONTH(DK$9,0)))*2*DK123-DJ173&lt;0,0,(SUMIFS(условия!$206:$206,условия!$8:$8,"&lt;="&amp;DK$9,условия!$9:$9,"&gt;="&amp;DK$9)/DAY(EOMONTH(DK$9,0)))*2*DK123-DJ173))))</f>
        <v>7.6544417719195899</v>
      </c>
      <c r="DL173" s="33">
        <f>IF(DL$9="",0,IF(OR(DL$9="",DAY(EOMONTH(DL$9,0))=0),0,IF((DL123-((SUMIFS(условия!$206:$206,условия!$8:$8,"&lt;="&amp;DL$9,условия!$9:$9,"&gt;="&amp;DL$9)/DAY(EOMONTH(DL$9,0)))*2*DL123-DK173))&lt;0,DK173+DL123,IF((SUMIFS(условия!$206:$206,условия!$8:$8,"&lt;="&amp;DL$9,условия!$9:$9,"&gt;="&amp;DL$9)/DAY(EOMONTH(DL$9,0)))*2*DL123-DK173&lt;0,0,(SUMIFS(условия!$206:$206,условия!$8:$8,"&lt;="&amp;DL$9,условия!$9:$9,"&gt;="&amp;DL$9)/DAY(EOMONTH(DL$9,0)))*2*DL123-DK173))))</f>
        <v>6.7261623920160449</v>
      </c>
      <c r="DM173" s="33">
        <f>IF(DM$9="",0,IF(OR(DM$9="",DAY(EOMONTH(DM$9,0))=0),0,IF((DM123-((SUMIFS(условия!$206:$206,условия!$8:$8,"&lt;="&amp;DM$9,условия!$9:$9,"&gt;="&amp;DM$9)/DAY(EOMONTH(DM$9,0)))*2*DM123-DL173))&lt;0,DL173+DM123,IF((SUMIFS(условия!$206:$206,условия!$8:$8,"&lt;="&amp;DM$9,условия!$9:$9,"&gt;="&amp;DM$9)/DAY(EOMONTH(DM$9,0)))*2*DM123-DL173&lt;0,0,(SUMIFS(условия!$206:$206,условия!$8:$8,"&lt;="&amp;DM$9,условия!$9:$9,"&gt;="&amp;DM$9)/DAY(EOMONTH(DM$9,0)))*2*DM123-DL173))))</f>
        <v>9.1952207894841216</v>
      </c>
      <c r="DN173" s="33">
        <f>IF(DN$9="",0,IF(OR(DN$9="",DAY(EOMONTH(DN$9,0))=0),0,IF((DN123-((SUMIFS(условия!$206:$206,условия!$8:$8,"&lt;="&amp;DN$9,условия!$9:$9,"&gt;="&amp;DN$9)/DAY(EOMONTH(DN$9,0)))*2*DN123-DM173))&lt;0,DM173+DN123,IF((SUMIFS(условия!$206:$206,условия!$8:$8,"&lt;="&amp;DN$9,условия!$9:$9,"&gt;="&amp;DN$9)/DAY(EOMONTH(DN$9,0)))*2*DN123-DM173&lt;0,0,(SUMIFS(условия!$206:$206,условия!$8:$8,"&lt;="&amp;DN$9,условия!$9:$9,"&gt;="&amp;DN$9)/DAY(EOMONTH(DN$9,0)))*2*DN123-DM173))))</f>
        <v>5.1853833744515132</v>
      </c>
      <c r="DO173" s="33">
        <f>IF(DO$9="",0,IF(OR(DO$9="",DAY(EOMONTH(DO$9,0))=0),0,IF((DO123-((SUMIFS(условия!$206:$206,условия!$8:$8,"&lt;="&amp;DO$9,условия!$9:$9,"&gt;="&amp;DO$9)/DAY(EOMONTH(DO$9,0)))*2*DO123-DN173))&lt;0,DN173+DO123,IF((SUMIFS(условия!$206:$206,условия!$8:$8,"&lt;="&amp;DO$9,условия!$9:$9,"&gt;="&amp;DO$9)/DAY(EOMONTH(DO$9,0)))*2*DO123-DN173&lt;0,0,(SUMIFS(условия!$206:$206,условия!$8:$8,"&lt;="&amp;DO$9,условия!$9:$9,"&gt;="&amp;DO$9)/DAY(EOMONTH(DO$9,0)))*2*DO123-DN173))))</f>
        <v>9.6745742616153088</v>
      </c>
      <c r="DP173" s="33">
        <f>IF(DP$9="",0,IF(OR(DP$9="",DAY(EOMONTH(DP$9,0))=0),0,IF((DP123-((SUMIFS(условия!$206:$206,условия!$8:$8,"&lt;="&amp;DP$9,условия!$9:$9,"&gt;="&amp;DP$9)/DAY(EOMONTH(DP$9,0)))*2*DP123-DO173))&lt;0,DO173+DP123,IF((SUMIFS(условия!$206:$206,условия!$8:$8,"&lt;="&amp;DP$9,условия!$9:$9,"&gt;="&amp;DP$9)/DAY(EOMONTH(DP$9,0)))*2*DP123-DO173&lt;0,0,(SUMIFS(условия!$206:$206,условия!$8:$8,"&lt;="&amp;DP$9,условия!$9:$9,"&gt;="&amp;DP$9)/DAY(EOMONTH(DP$9,0)))*2*DP123-DO173))))</f>
        <v>4.706029902320326</v>
      </c>
      <c r="DQ173" s="33">
        <f>IF(DQ$9="",0,IF(OR(DQ$9="",DAY(EOMONTH(DQ$9,0))=0),0,IF((DQ123-((SUMIFS(условия!$206:$206,условия!$8:$8,"&lt;="&amp;DQ$9,условия!$9:$9,"&gt;="&amp;DQ$9)/DAY(EOMONTH(DQ$9,0)))*2*DQ123-DP173))&lt;0,DP173+DQ123,IF((SUMIFS(условия!$206:$206,условия!$8:$8,"&lt;="&amp;DQ$9,условия!$9:$9,"&gt;="&amp;DQ$9)/DAY(EOMONTH(DQ$9,0)))*2*DQ123-DP173&lt;0,0,(SUMIFS(условия!$206:$206,условия!$8:$8,"&lt;="&amp;DQ$9,условия!$9:$9,"&gt;="&amp;DQ$9)/DAY(EOMONTH(DQ$9,0)))*2*DQ123-DP173))))</f>
        <v>10.153927733746496</v>
      </c>
      <c r="DR173" s="33">
        <f>IF(DR$9="",0,IF(OR(DR$9="",DAY(EOMONTH(DR$9,0))=0),0,IF((DR123-((SUMIFS(условия!$206:$206,условия!$8:$8,"&lt;="&amp;DR$9,условия!$9:$9,"&gt;="&amp;DR$9)/DAY(EOMONTH(DR$9,0)))*2*DR123-DQ173))&lt;0,DQ173+DR123,IF((SUMIFS(условия!$206:$206,условия!$8:$8,"&lt;="&amp;DR$9,условия!$9:$9,"&gt;="&amp;DR$9)/DAY(EOMONTH(DR$9,0)))*2*DR123-DQ173&lt;0,0,(SUMIFS(условия!$206:$206,условия!$8:$8,"&lt;="&amp;DR$9,условия!$9:$9,"&gt;="&amp;DR$9)/DAY(EOMONTH(DR$9,0)))*2*DR123-DQ173))))</f>
        <v>4.2266764301891389</v>
      </c>
      <c r="DS173" s="33">
        <f>IF(DS$9="",0,IF(OR(DS$9="",DAY(EOMONTH(DS$9,0))=0),0,IF((DS123-((SUMIFS(условия!$206:$206,условия!$8:$8,"&lt;="&amp;DS$9,условия!$9:$9,"&gt;="&amp;DS$9)/DAY(EOMONTH(DS$9,0)))*2*DS123-DR173))&lt;0,DR173+DS123,IF((SUMIFS(условия!$206:$206,условия!$8:$8,"&lt;="&amp;DS$9,условия!$9:$9,"&gt;="&amp;DS$9)/DAY(EOMONTH(DS$9,0)))*2*DS123-DR173&lt;0,0,(SUMIFS(условия!$206:$206,условия!$8:$8,"&lt;="&amp;DS$9,условия!$9:$9,"&gt;="&amp;DS$9)/DAY(EOMONTH(DS$9,0)))*2*DS123-DR173))))</f>
        <v>10.153927733746496</v>
      </c>
      <c r="DT173" s="33">
        <f>IF(DT$9="",0,IF(OR(DT$9="",DAY(EOMONTH(DT$9,0))=0),0,IF((DT123-((SUMIFS(условия!$206:$206,условия!$8:$8,"&lt;="&amp;DT$9,условия!$9:$9,"&gt;="&amp;DT$9)/DAY(EOMONTH(DT$9,0)))*2*DT123-DS173))&lt;0,DS173+DT123,IF((SUMIFS(условия!$206:$206,условия!$8:$8,"&lt;="&amp;DT$9,условия!$9:$9,"&gt;="&amp;DT$9)/DAY(EOMONTH(DT$9,0)))*2*DT123-DS173&lt;0,0,(SUMIFS(условия!$206:$206,условия!$8:$8,"&lt;="&amp;DT$9,условия!$9:$9,"&gt;="&amp;DT$9)/DAY(EOMONTH(DT$9,0)))*2*DT123-DS173))))</f>
        <v>4.706029902320326</v>
      </c>
      <c r="DU173" s="33">
        <f>IF(DU$9="",0,IF(OR(DU$9="",DAY(EOMONTH(DU$9,0))=0),0,IF((DU123-((SUMIFS(условия!$206:$206,условия!$8:$8,"&lt;="&amp;DU$9,условия!$9:$9,"&gt;="&amp;DU$9)/DAY(EOMONTH(DU$9,0)))*2*DU123-DT173))&lt;0,DT173+DU123,IF((SUMIFS(условия!$206:$206,условия!$8:$8,"&lt;="&amp;DU$9,условия!$9:$9,"&gt;="&amp;DU$9)/DAY(EOMONTH(DU$9,0)))*2*DU123-DT173&lt;0,0,(SUMIFS(условия!$206:$206,условия!$8:$8,"&lt;="&amp;DU$9,условия!$9:$9,"&gt;="&amp;DU$9)/DAY(EOMONTH(DU$9,0)))*2*DU123-DT173))))</f>
        <v>9.6745742616153088</v>
      </c>
      <c r="DV173" s="33">
        <f>IF(DV$9="",0,IF(OR(DV$9="",DAY(EOMONTH(DV$9,0))=0),0,IF((DV123-((SUMIFS(условия!$206:$206,условия!$8:$8,"&lt;="&amp;DV$9,условия!$9:$9,"&gt;="&amp;DV$9)/DAY(EOMONTH(DV$9,0)))*2*DV123-DU173))&lt;0,DU173+DV123,IF((SUMIFS(условия!$206:$206,условия!$8:$8,"&lt;="&amp;DV$9,условия!$9:$9,"&gt;="&amp;DV$9)/DAY(EOMONTH(DV$9,0)))*2*DV123-DU173&lt;0,0,(SUMIFS(условия!$206:$206,условия!$8:$8,"&lt;="&amp;DV$9,условия!$9:$9,"&gt;="&amp;DV$9)/DAY(EOMONTH(DV$9,0)))*2*DV123-DU173))))</f>
        <v>5.1853833744515132</v>
      </c>
      <c r="DW173" s="33">
        <f>IF(DW$9="",0,IF(OR(DW$9="",DAY(EOMONTH(DW$9,0))=0),0,IF((DW123-((SUMIFS(условия!$206:$206,условия!$8:$8,"&lt;="&amp;DW$9,условия!$9:$9,"&gt;="&amp;DW$9)/DAY(EOMONTH(DW$9,0)))*2*DW123-DV173))&lt;0,DV173+DW123,IF((SUMIFS(условия!$206:$206,условия!$8:$8,"&lt;="&amp;DW$9,условия!$9:$9,"&gt;="&amp;DW$9)/DAY(EOMONTH(DW$9,0)))*2*DW123-DV173&lt;0,0,(SUMIFS(условия!$206:$206,условия!$8:$8,"&lt;="&amp;DW$9,условия!$9:$9,"&gt;="&amp;DW$9)/DAY(EOMONTH(DW$9,0)))*2*DW123-DV173))))</f>
        <v>9.1952207894841216</v>
      </c>
      <c r="DX173" s="33">
        <f>IF(DX$9="",0,IF(OR(DX$9="",DAY(EOMONTH(DX$9,0))=0),0,IF((DX123-((SUMIFS(условия!$206:$206,условия!$8:$8,"&lt;="&amp;DX$9,условия!$9:$9,"&gt;="&amp;DX$9)/DAY(EOMONTH(DX$9,0)))*2*DX123-DW173))&lt;0,DW173+DX123,IF((SUMIFS(условия!$206:$206,условия!$8:$8,"&lt;="&amp;DX$9,условия!$9:$9,"&gt;="&amp;DX$9)/DAY(EOMONTH(DX$9,0)))*2*DX123-DW173&lt;0,0,(SUMIFS(условия!$206:$206,условия!$8:$8,"&lt;="&amp;DX$9,условия!$9:$9,"&gt;="&amp;DX$9)/DAY(EOMONTH(DX$9,0)))*2*DX123-DW173))))</f>
        <v>5.3291894160908697</v>
      </c>
      <c r="DY173" s="33">
        <f>IF(DY$9="",0,IF(OR(DY$9="",DAY(EOMONTH(DY$9,0))=0),0,IF((DY123-((SUMIFS(условия!$206:$206,условия!$8:$8,"&lt;="&amp;DY$9,условия!$9:$9,"&gt;="&amp;DY$9)/DAY(EOMONTH(DY$9,0)))*2*DY123-DX173))&lt;0,DX173+DY123,IF((SUMIFS(условия!$206:$206,условия!$8:$8,"&lt;="&amp;DY$9,условия!$9:$9,"&gt;="&amp;DY$9)/DAY(EOMONTH(DY$9,0)))*2*DY123-DX173&lt;0,0,(SUMIFS(условия!$206:$206,условия!$8:$8,"&lt;="&amp;DY$9,условия!$9:$9,"&gt;="&amp;DY$9)/DAY(EOMONTH(DY$9,0)))*2*DY123-DX173))))</f>
        <v>10.751407597224301</v>
      </c>
      <c r="DZ173" s="33">
        <f>IF(DZ$9="",0,IF(OR(DZ$9="",DAY(EOMONTH(DZ$9,0))=0),0,IF((DZ123-((SUMIFS(условия!$206:$206,условия!$8:$8,"&lt;="&amp;DZ$9,условия!$9:$9,"&gt;="&amp;DZ$9)/DAY(EOMONTH(DZ$9,0)))*2*DZ123-DY173))&lt;0,DY173+DZ123,IF((SUMIFS(условия!$206:$206,условия!$8:$8,"&lt;="&amp;DZ$9,условия!$9:$9,"&gt;="&amp;DZ$9)/DAY(EOMONTH(DZ$9,0)))*2*DZ123-DY173&lt;0,0,(SUMIFS(условия!$206:$206,условия!$8:$8,"&lt;="&amp;DZ$9,условия!$9:$9,"&gt;="&amp;DZ$9)/DAY(EOMONTH(DZ$9,0)))*2*DZ123-DY173))))</f>
        <v>3.7730026083506907</v>
      </c>
      <c r="EA173" s="33">
        <f>IF(EA$9="",0,IF(OR(EA$9="",DAY(EOMONTH(EA$9,0))=0),0,IF((EA123-((SUMIFS(условия!$206:$206,условия!$8:$8,"&lt;="&amp;EA$9,условия!$9:$9,"&gt;="&amp;EA$9)/DAY(EOMONTH(EA$9,0)))*2*EA123-DZ173))&lt;0,DZ173+EA123,IF((SUMIFS(условия!$206:$206,условия!$8:$8,"&lt;="&amp;EA$9,условия!$9:$9,"&gt;="&amp;EA$9)/DAY(EOMONTH(EA$9,0)))*2*EA123-DZ173&lt;0,0,(SUMIFS(условия!$206:$206,условия!$8:$8,"&lt;="&amp;EA$9,условия!$9:$9,"&gt;="&amp;EA$9)/DAY(EOMONTH(EA$9,0)))*2*EA123-DZ173))))</f>
        <v>11.235554604076802</v>
      </c>
      <c r="EB173" s="33">
        <f>IF(EB$9="",0,IF(OR(EB$9="",DAY(EOMONTH(EB$9,0))=0),0,IF((EB123-((SUMIFS(условия!$206:$206,условия!$8:$8,"&lt;="&amp;EB$9,условия!$9:$9,"&gt;="&amp;EB$9)/DAY(EOMONTH(EB$9,0)))*2*EB123-EA173))&lt;0,EA173+EB123,IF((SUMIFS(условия!$206:$206,условия!$8:$8,"&lt;="&amp;EB$9,условия!$9:$9,"&gt;="&amp;EB$9)/DAY(EOMONTH(EB$9,0)))*2*EB123-EA173&lt;0,0,(SUMIFS(условия!$206:$206,условия!$8:$8,"&lt;="&amp;EB$9,условия!$9:$9,"&gt;="&amp;EB$9)/DAY(EOMONTH(EB$9,0)))*2*EB123-EA173))))</f>
        <v>3.2888556014981898</v>
      </c>
      <c r="EC173" s="33">
        <f>IF(EC$9="",0,IF(OR(EC$9="",DAY(EOMONTH(EC$9,0))=0),0,IF((EC123-((SUMIFS(условия!$206:$206,условия!$8:$8,"&lt;="&amp;EC$9,условия!$9:$9,"&gt;="&amp;EC$9)/DAY(EOMONTH(EC$9,0)))*2*EC123-EB173))&lt;0,EB173+EC123,IF((SUMIFS(условия!$206:$206,условия!$8:$8,"&lt;="&amp;EC$9,условия!$9:$9,"&gt;="&amp;EC$9)/DAY(EOMONTH(EC$9,0)))*2*EC123-EB173&lt;0,0,(SUMIFS(условия!$206:$206,условия!$8:$8,"&lt;="&amp;EC$9,условия!$9:$9,"&gt;="&amp;EC$9)/DAY(EOMONTH(EC$9,0)))*2*EC123-EB173))))</f>
        <v>11.719701610929302</v>
      </c>
      <c r="ED173" s="33">
        <f>IF(ED$9="",0,IF(OR(ED$9="",DAY(EOMONTH(ED$9,0))=0),0,IF((ED123-((SUMIFS(условия!$206:$206,условия!$8:$8,"&lt;="&amp;ED$9,условия!$9:$9,"&gt;="&amp;ED$9)/DAY(EOMONTH(ED$9,0)))*2*ED123-EC173))&lt;0,EC173+ED123,IF((SUMIFS(условия!$206:$206,условия!$8:$8,"&lt;="&amp;ED$9,условия!$9:$9,"&gt;="&amp;ED$9)/DAY(EOMONTH(ED$9,0)))*2*ED123-EC173&lt;0,0,(SUMIFS(условия!$206:$206,условия!$8:$8,"&lt;="&amp;ED$9,условия!$9:$9,"&gt;="&amp;ED$9)/DAY(EOMONTH(ED$9,0)))*2*ED123-EC173))))</f>
        <v>2.8047085946456889</v>
      </c>
      <c r="EE173" s="33">
        <f>IF(EE$9="",0,IF(OR(EE$9="",DAY(EOMONTH(EE$9,0))=0),0,IF((EE123-((SUMIFS(условия!$206:$206,условия!$8:$8,"&lt;="&amp;EE$9,условия!$9:$9,"&gt;="&amp;EE$9)/DAY(EOMONTH(EE$9,0)))*2*EE123-ED173))&lt;0,ED173+EE123,IF((SUMIFS(условия!$206:$206,условия!$8:$8,"&lt;="&amp;EE$9,условия!$9:$9,"&gt;="&amp;EE$9)/DAY(EOMONTH(EE$9,0)))*2*EE123-ED173&lt;0,0,(SUMIFS(условия!$206:$206,условия!$8:$8,"&lt;="&amp;EE$9,условия!$9:$9,"&gt;="&amp;EE$9)/DAY(EOMONTH(EE$9,0)))*2*EE123-ED173))))</f>
        <v>11.719701610929302</v>
      </c>
      <c r="EF173" s="33">
        <f>IF(EF$9="",0,IF(OR(EF$9="",DAY(EOMONTH(EF$9,0))=0),0,IF((EF123-((SUMIFS(условия!$206:$206,условия!$8:$8,"&lt;="&amp;EF$9,условия!$9:$9,"&gt;="&amp;EF$9)/DAY(EOMONTH(EF$9,0)))*2*EF123-EE173))&lt;0,EE173+EF123,IF((SUMIFS(условия!$206:$206,условия!$8:$8,"&lt;="&amp;EF$9,условия!$9:$9,"&gt;="&amp;EF$9)/DAY(EOMONTH(EF$9,0)))*2*EF123-EE173&lt;0,0,(SUMIFS(условия!$206:$206,условия!$8:$8,"&lt;="&amp;EF$9,условия!$9:$9,"&gt;="&amp;EF$9)/DAY(EOMONTH(EF$9,0)))*2*EF123-EE173))))</f>
        <v>3.2888556014981898</v>
      </c>
      <c r="EG173" s="33">
        <f>IF(EG$9="",0,IF(OR(EG$9="",DAY(EOMONTH(EG$9,0))=0),0,IF((EG123-((SUMIFS(условия!$206:$206,условия!$8:$8,"&lt;="&amp;EG$9,условия!$9:$9,"&gt;="&amp;EG$9)/DAY(EOMONTH(EG$9,0)))*2*EG123-EF173))&lt;0,EF173+EG123,IF((SUMIFS(условия!$206:$206,условия!$8:$8,"&lt;="&amp;EG$9,условия!$9:$9,"&gt;="&amp;EG$9)/DAY(EOMONTH(EG$9,0)))*2*EG123-EF173&lt;0,0,(SUMIFS(условия!$206:$206,условия!$8:$8,"&lt;="&amp;EG$9,условия!$9:$9,"&gt;="&amp;EG$9)/DAY(EOMONTH(EG$9,0)))*2*EG123-EF173))))</f>
        <v>11.235554604076802</v>
      </c>
      <c r="EH173" s="33">
        <f>IF(EH$9="",0,IF(OR(EH$9="",DAY(EOMONTH(EH$9,0))=0),0,IF((EH123-((SUMIFS(условия!$206:$206,условия!$8:$8,"&lt;="&amp;EH$9,условия!$9:$9,"&gt;="&amp;EH$9)/DAY(EOMONTH(EH$9,0)))*2*EH123-EG173))&lt;0,EG173+EH123,IF((SUMIFS(условия!$206:$206,условия!$8:$8,"&lt;="&amp;EH$9,условия!$9:$9,"&gt;="&amp;EH$9)/DAY(EOMONTH(EH$9,0)))*2*EH123-EG173&lt;0,0,(SUMIFS(условия!$206:$206,условия!$8:$8,"&lt;="&amp;EH$9,условия!$9:$9,"&gt;="&amp;EH$9)/DAY(EOMONTH(EH$9,0)))*2*EH123-EG173))))</f>
        <v>3.7730026083506907</v>
      </c>
      <c r="EI173" s="33">
        <f>IF(EI$9="",0,IF(OR(EI$9="",DAY(EOMONTH(EI$9,0))=0),0,IF((EI123-((SUMIFS(условия!$206:$206,условия!$8:$8,"&lt;="&amp;EI$9,условия!$9:$9,"&gt;="&amp;EI$9)/DAY(EOMONTH(EI$9,0)))*2*EI123-EH173))&lt;0,EH173+EI123,IF((SUMIFS(условия!$206:$206,условия!$8:$8,"&lt;="&amp;EI$9,условия!$9:$9,"&gt;="&amp;EI$9)/DAY(EOMONTH(EI$9,0)))*2*EI123-EH173&lt;0,0,(SUMIFS(условия!$206:$206,условия!$8:$8,"&lt;="&amp;EI$9,условия!$9:$9,"&gt;="&amp;EI$9)/DAY(EOMONTH(EI$9,0)))*2*EI123-EH173))))</f>
        <v>10.751407597224301</v>
      </c>
      <c r="EJ173" s="3"/>
      <c r="EK173" s="3"/>
    </row>
    <row r="174" spans="1:14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2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</row>
    <row r="175" spans="1:141" x14ac:dyDescent="0.25">
      <c r="A175" s="3"/>
      <c r="B175" s="3"/>
      <c r="C175" s="3"/>
      <c r="D175" s="3"/>
      <c r="E175" s="3"/>
      <c r="F175" s="10" t="str">
        <f>KPI!$F$177</f>
        <v>Оплата АНХ расходов</v>
      </c>
      <c r="G175" s="3"/>
      <c r="H175" s="3"/>
      <c r="I175" s="3"/>
      <c r="J175" s="5" t="str">
        <f>IF($F175="","",INDEX(KPI!$I$11:$I$275,SUMIFS(KPI!$E$11:$E$275,KPI!$F$11:$F$275,$F175)))</f>
        <v>тыс.руб.</v>
      </c>
      <c r="K175" s="3"/>
      <c r="L175" s="3"/>
      <c r="M175" s="3"/>
      <c r="N175" s="3"/>
      <c r="O175" s="3"/>
      <c r="P175" s="3"/>
      <c r="Q175" s="12">
        <f>SUM(S175:EJ175)</f>
        <v>15245.612948022894</v>
      </c>
      <c r="R175" s="3"/>
      <c r="S175" s="55"/>
      <c r="T175" s="33">
        <f>S173+T123-T173</f>
        <v>9.3548387096774199</v>
      </c>
      <c r="U175" s="33">
        <f t="shared" ref="U175:CF175" si="73">T173+U123-U173</f>
        <v>10.576036866359447</v>
      </c>
      <c r="V175" s="33">
        <f t="shared" si="73"/>
        <v>9.4930875576036868</v>
      </c>
      <c r="W175" s="33">
        <f t="shared" si="73"/>
        <v>10.485407066052227</v>
      </c>
      <c r="X175" s="33">
        <f t="shared" si="73"/>
        <v>45.084485407066055</v>
      </c>
      <c r="Y175" s="33">
        <f t="shared" si="73"/>
        <v>50.812288786482334</v>
      </c>
      <c r="Z175" s="33">
        <f t="shared" si="73"/>
        <v>45.290937019969277</v>
      </c>
      <c r="AA175" s="33">
        <f t="shared" si="73"/>
        <v>50.709062980030723</v>
      </c>
      <c r="AB175" s="33">
        <f t="shared" si="73"/>
        <v>45.187711213517666</v>
      </c>
      <c r="AC175" s="33">
        <f t="shared" si="73"/>
        <v>50.915514592933945</v>
      </c>
      <c r="AD175" s="33">
        <f t="shared" si="73"/>
        <v>44.981259600614436</v>
      </c>
      <c r="AE175" s="33">
        <f t="shared" si="73"/>
        <v>51.109370199692783</v>
      </c>
      <c r="AF175" s="33">
        <f t="shared" si="73"/>
        <v>60.900000000000006</v>
      </c>
      <c r="AG175" s="33">
        <f t="shared" si="73"/>
        <v>68.850000000000009</v>
      </c>
      <c r="AH175" s="33">
        <f t="shared" si="73"/>
        <v>61.800000000000011</v>
      </c>
      <c r="AI175" s="33">
        <f t="shared" si="73"/>
        <v>68.260000000000005</v>
      </c>
      <c r="AJ175" s="33">
        <f t="shared" si="73"/>
        <v>62.080000000000013</v>
      </c>
      <c r="AK175" s="33">
        <f t="shared" si="73"/>
        <v>67.98</v>
      </c>
      <c r="AL175" s="33">
        <f t="shared" si="73"/>
        <v>62.360000000000014</v>
      </c>
      <c r="AM175" s="33">
        <f t="shared" si="73"/>
        <v>67.84</v>
      </c>
      <c r="AN175" s="33">
        <f t="shared" si="73"/>
        <v>62.220000000000013</v>
      </c>
      <c r="AO175" s="33">
        <f t="shared" si="73"/>
        <v>68.12</v>
      </c>
      <c r="AP175" s="33">
        <f t="shared" si="73"/>
        <v>61.940000000000012</v>
      </c>
      <c r="AQ175" s="33">
        <f t="shared" si="73"/>
        <v>68.400000000000006</v>
      </c>
      <c r="AR175" s="33">
        <f t="shared" si="73"/>
        <v>68.165032258064528</v>
      </c>
      <c r="AS175" s="33">
        <f t="shared" si="73"/>
        <v>75.145935483870986</v>
      </c>
      <c r="AT175" s="33">
        <f t="shared" si="73"/>
        <v>69.159096774193557</v>
      </c>
      <c r="AU175" s="33">
        <f t="shared" si="73"/>
        <v>74.49427096774194</v>
      </c>
      <c r="AV175" s="33">
        <f t="shared" si="73"/>
        <v>69.468361290322591</v>
      </c>
      <c r="AW175" s="33">
        <f t="shared" si="73"/>
        <v>74.185006451612921</v>
      </c>
      <c r="AX175" s="33">
        <f t="shared" si="73"/>
        <v>69.777625806451624</v>
      </c>
      <c r="AY175" s="33">
        <f t="shared" si="73"/>
        <v>74.030374193548397</v>
      </c>
      <c r="AZ175" s="33">
        <f t="shared" si="73"/>
        <v>69.6229935483871</v>
      </c>
      <c r="BA175" s="33">
        <f t="shared" si="73"/>
        <v>74.33963870967743</v>
      </c>
      <c r="BB175" s="33">
        <f t="shared" si="73"/>
        <v>69.313729032258081</v>
      </c>
      <c r="BC175" s="33">
        <f t="shared" si="73"/>
        <v>74.648903225806464</v>
      </c>
      <c r="BD175" s="33">
        <f t="shared" si="73"/>
        <v>79.080689032258078</v>
      </c>
      <c r="BE175" s="33">
        <f t="shared" si="73"/>
        <v>85.571872658509491</v>
      </c>
      <c r="BF175" s="33">
        <f t="shared" si="73"/>
        <v>79.81492565072304</v>
      </c>
      <c r="BG175" s="33">
        <f t="shared" si="73"/>
        <v>85.027313833147971</v>
      </c>
      <c r="BH175" s="33">
        <f t="shared" si="73"/>
        <v>80.169806682981118</v>
      </c>
      <c r="BI175" s="33">
        <f t="shared" si="73"/>
        <v>84.672432800889908</v>
      </c>
      <c r="BJ175" s="33">
        <f t="shared" si="73"/>
        <v>80.524687715239182</v>
      </c>
      <c r="BK175" s="33">
        <f t="shared" si="73"/>
        <v>84.494992284760883</v>
      </c>
      <c r="BL175" s="33">
        <f t="shared" si="73"/>
        <v>80.347247199110157</v>
      </c>
      <c r="BM175" s="33">
        <f t="shared" si="73"/>
        <v>84.849873317018933</v>
      </c>
      <c r="BN175" s="33">
        <f t="shared" si="73"/>
        <v>79.992366166852079</v>
      </c>
      <c r="BO175" s="33">
        <f t="shared" si="73"/>
        <v>85.20475434927701</v>
      </c>
      <c r="BP175" s="33">
        <f t="shared" si="73"/>
        <v>85.21798936685208</v>
      </c>
      <c r="BQ175" s="33">
        <f t="shared" si="73"/>
        <v>90.742799600889896</v>
      </c>
      <c r="BR175" s="33">
        <f t="shared" si="73"/>
        <v>86.438526631368205</v>
      </c>
      <c r="BS175" s="33">
        <f t="shared" si="73"/>
        <v>89.942669616373777</v>
      </c>
      <c r="BT175" s="33">
        <f t="shared" si="73"/>
        <v>86.818249335884332</v>
      </c>
      <c r="BU175" s="33">
        <f t="shared" si="73"/>
        <v>89.562946911857651</v>
      </c>
      <c r="BV175" s="33">
        <f t="shared" si="73"/>
        <v>87.197972040400458</v>
      </c>
      <c r="BW175" s="33">
        <f t="shared" si="73"/>
        <v>89.373085559599573</v>
      </c>
      <c r="BX175" s="33">
        <f t="shared" si="73"/>
        <v>87.008110688142395</v>
      </c>
      <c r="BY175" s="33">
        <f t="shared" si="73"/>
        <v>135.90586933508345</v>
      </c>
      <c r="BZ175" s="33">
        <f t="shared" si="73"/>
        <v>139.04128952169083</v>
      </c>
      <c r="CA175" s="33">
        <f t="shared" si="73"/>
        <v>136.49779002153505</v>
      </c>
      <c r="CB175" s="33">
        <f t="shared" si="73"/>
        <v>146.46989413665855</v>
      </c>
      <c r="CC175" s="33">
        <f t="shared" si="73"/>
        <v>144.27943304592216</v>
      </c>
      <c r="CD175" s="33">
        <f t="shared" si="73"/>
        <v>148.48665247549727</v>
      </c>
      <c r="CE175" s="33">
        <f t="shared" si="73"/>
        <v>142.95733591268345</v>
      </c>
      <c r="CF175" s="33">
        <f t="shared" si="73"/>
        <v>149.11408840313595</v>
      </c>
      <c r="CG175" s="33">
        <f t="shared" ref="CG175:EI175" si="74">CF173+CG123-CG173</f>
        <v>142.32989998504476</v>
      </c>
      <c r="CH175" s="33">
        <f t="shared" si="74"/>
        <v>149.74152433077467</v>
      </c>
      <c r="CI175" s="33">
        <f t="shared" si="74"/>
        <v>142.0161820212254</v>
      </c>
      <c r="CJ175" s="33">
        <f t="shared" si="74"/>
        <v>149.42780636695531</v>
      </c>
      <c r="CK175" s="33">
        <f t="shared" si="74"/>
        <v>142.64361794886412</v>
      </c>
      <c r="CL175" s="33">
        <f t="shared" si="74"/>
        <v>148.80037043931659</v>
      </c>
      <c r="CM175" s="33">
        <f t="shared" si="74"/>
        <v>143.2710538765028</v>
      </c>
      <c r="CN175" s="33">
        <f t="shared" si="74"/>
        <v>155.31001818856828</v>
      </c>
      <c r="CO175" s="33">
        <f t="shared" si="74"/>
        <v>149.97677535314156</v>
      </c>
      <c r="CP175" s="33">
        <f t="shared" si="74"/>
        <v>157.42761444434888</v>
      </c>
      <c r="CQ175" s="33">
        <f t="shared" si="74"/>
        <v>148.58857336324093</v>
      </c>
      <c r="CR175" s="33">
        <f t="shared" si="74"/>
        <v>158.08642216836955</v>
      </c>
      <c r="CS175" s="33">
        <f t="shared" si="74"/>
        <v>147.92976563922028</v>
      </c>
      <c r="CT175" s="33">
        <f t="shared" si="74"/>
        <v>158.74522989239017</v>
      </c>
      <c r="CU175" s="33">
        <f t="shared" si="74"/>
        <v>147.60036177720997</v>
      </c>
      <c r="CV175" s="33">
        <f t="shared" si="74"/>
        <v>158.41582603037986</v>
      </c>
      <c r="CW175" s="33">
        <f t="shared" si="74"/>
        <v>148.25916950123059</v>
      </c>
      <c r="CX175" s="33">
        <f t="shared" si="74"/>
        <v>157.75701830635921</v>
      </c>
      <c r="CY175" s="33">
        <f t="shared" si="74"/>
        <v>148.91797722525126</v>
      </c>
      <c r="CZ175" s="33">
        <f t="shared" si="74"/>
        <v>163.1592416433285</v>
      </c>
      <c r="DA175" s="33">
        <f t="shared" si="74"/>
        <v>154.73138745204031</v>
      </c>
      <c r="DB175" s="33">
        <f t="shared" si="74"/>
        <v>164.57681412535914</v>
      </c>
      <c r="DC175" s="33">
        <f t="shared" si="74"/>
        <v>153.68002119453428</v>
      </c>
      <c r="DD175" s="33">
        <f t="shared" si="74"/>
        <v>165.26197415834062</v>
      </c>
      <c r="DE175" s="33">
        <f t="shared" si="74"/>
        <v>152.99486116155279</v>
      </c>
      <c r="DF175" s="33">
        <f t="shared" si="74"/>
        <v>165.94713419132208</v>
      </c>
      <c r="DG175" s="33">
        <f t="shared" si="74"/>
        <v>152.65228114506206</v>
      </c>
      <c r="DH175" s="33">
        <f t="shared" si="74"/>
        <v>165.60455417483135</v>
      </c>
      <c r="DI175" s="33">
        <f t="shared" si="74"/>
        <v>153.33744117804352</v>
      </c>
      <c r="DJ175" s="33">
        <f t="shared" si="74"/>
        <v>218.2196736886915</v>
      </c>
      <c r="DK175" s="33">
        <f t="shared" si="74"/>
        <v>215.06001811144043</v>
      </c>
      <c r="DL175" s="33">
        <f t="shared" si="74"/>
        <v>223.82764392090587</v>
      </c>
      <c r="DM175" s="33">
        <f t="shared" si="74"/>
        <v>220.43030614353427</v>
      </c>
      <c r="DN175" s="33">
        <f t="shared" si="74"/>
        <v>226.90920195603496</v>
      </c>
      <c r="DO175" s="33">
        <f t="shared" si="74"/>
        <v>218.41017365383854</v>
      </c>
      <c r="DP175" s="33">
        <f t="shared" si="74"/>
        <v>227.86790890029732</v>
      </c>
      <c r="DQ175" s="33">
        <f t="shared" si="74"/>
        <v>217.45146670957618</v>
      </c>
      <c r="DR175" s="33">
        <f t="shared" si="74"/>
        <v>228.82661584455968</v>
      </c>
      <c r="DS175" s="33">
        <f t="shared" si="74"/>
        <v>216.972113237445</v>
      </c>
      <c r="DT175" s="33">
        <f t="shared" si="74"/>
        <v>228.3472623724285</v>
      </c>
      <c r="DU175" s="33">
        <f t="shared" si="74"/>
        <v>217.93082018170736</v>
      </c>
      <c r="DV175" s="33">
        <f t="shared" si="74"/>
        <v>227.38855542816614</v>
      </c>
      <c r="DW175" s="33">
        <f t="shared" si="74"/>
        <v>218.88952712596972</v>
      </c>
      <c r="DX175" s="33">
        <f t="shared" si="74"/>
        <v>228.99438955980565</v>
      </c>
      <c r="DY175" s="33">
        <f t="shared" si="74"/>
        <v>219.70614000527897</v>
      </c>
      <c r="DZ175" s="33">
        <f t="shared" si="74"/>
        <v>232.10676317528601</v>
      </c>
      <c r="EA175" s="33">
        <f t="shared" si="74"/>
        <v>217.66580619068625</v>
      </c>
      <c r="EB175" s="33">
        <f t="shared" si="74"/>
        <v>233.075057188991</v>
      </c>
      <c r="EC175" s="33">
        <f t="shared" si="74"/>
        <v>216.69751217698129</v>
      </c>
      <c r="ED175" s="33">
        <f t="shared" si="74"/>
        <v>234.04335120269599</v>
      </c>
      <c r="EE175" s="33">
        <f t="shared" si="74"/>
        <v>216.21336517012878</v>
      </c>
      <c r="EF175" s="33">
        <f t="shared" si="74"/>
        <v>233.55920419584348</v>
      </c>
      <c r="EG175" s="33">
        <f t="shared" si="74"/>
        <v>217.18165918383377</v>
      </c>
      <c r="EH175" s="33">
        <f t="shared" si="74"/>
        <v>232.59091018213851</v>
      </c>
      <c r="EI175" s="33">
        <f t="shared" si="74"/>
        <v>218.14995319753876</v>
      </c>
      <c r="EJ175" s="3"/>
      <c r="EK175" s="3"/>
    </row>
    <row r="176" spans="1:14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2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</row>
    <row r="177" spans="1:141" x14ac:dyDescent="0.25">
      <c r="A177" s="3"/>
      <c r="B177" s="3"/>
      <c r="C177" s="3"/>
      <c r="D177" s="3"/>
      <c r="E177" s="3"/>
      <c r="F177" s="10" t="str">
        <f>KPI!$F$179</f>
        <v>Дебиторская задолженность клиентов по оплате на конец периодов</v>
      </c>
      <c r="G177" s="3"/>
      <c r="H177" s="3"/>
      <c r="I177" s="3"/>
      <c r="J177" s="5" t="str">
        <f>IF($F177="","",INDEX(KPI!$I$11:$I$275,SUMIFS(KPI!$E$11:$E$275,KPI!$F$11:$F$275,$F177)))</f>
        <v>тыс.руб.</v>
      </c>
      <c r="K177" s="3"/>
      <c r="L177" s="3"/>
      <c r="M177" s="3"/>
      <c r="N177" s="3"/>
      <c r="O177" s="3"/>
      <c r="P177" s="3"/>
      <c r="Q177" s="12"/>
      <c r="R177" s="3"/>
      <c r="S177" s="55"/>
      <c r="T177" s="33">
        <f>IF(T$9="",0,IF(OR(T$9="",DAY(EOMONTH(T$9,0))=0),0,IF((T45-((SUMIFS(условия!$208:$208,условия!$8:$8,"&lt;="&amp;T$9,условия!$9:$9,"&gt;="&amp;T$9)/DAY(EOMONTH(T$9,0)))*2*T45-S177))&lt;0,S177+T45,IF((SUMIFS(условия!$208:$208,условия!$8:$8,"&lt;="&amp;T$9,условия!$9:$9,"&gt;="&amp;T$9)/DAY(EOMONTH(T$9,0)))*2*T45-S177&lt;0,0,(SUMIFS(условия!$208:$208,условия!$8:$8,"&lt;="&amp;T$9,условия!$9:$9,"&gt;="&amp;T$9)/DAY(EOMONTH(T$9,0)))*2*T45-S177))))</f>
        <v>0</v>
      </c>
      <c r="U177" s="33">
        <f>IF(U$9="",0,IF(OR(U$9="",DAY(EOMONTH(U$9,0))=0),0,IF((U45-((SUMIFS(условия!$208:$208,условия!$8:$8,"&lt;="&amp;U$9,условия!$9:$9,"&gt;="&amp;U$9)/DAY(EOMONTH(U$9,0)))*2*U45-T177))&lt;0,T177+U45,IF((SUMIFS(условия!$208:$208,условия!$8:$8,"&lt;="&amp;U$9,условия!$9:$9,"&gt;="&amp;U$9)/DAY(EOMONTH(U$9,0)))*2*U45-T177&lt;0,0,(SUMIFS(условия!$208:$208,условия!$8:$8,"&lt;="&amp;U$9,условия!$9:$9,"&gt;="&amp;U$9)/DAY(EOMONTH(U$9,0)))*2*U45-T177))))</f>
        <v>0</v>
      </c>
      <c r="V177" s="33">
        <f>IF(V$9="",0,IF(OR(V$9="",DAY(EOMONTH(V$9,0))=0),0,IF((V45-((SUMIFS(условия!$208:$208,условия!$8:$8,"&lt;="&amp;V$9,условия!$9:$9,"&gt;="&amp;V$9)/DAY(EOMONTH(V$9,0)))*2*V45-U177))&lt;0,U177+V45,IF((SUMIFS(условия!$208:$208,условия!$8:$8,"&lt;="&amp;V$9,условия!$9:$9,"&gt;="&amp;V$9)/DAY(EOMONTH(V$9,0)))*2*V45-U177&lt;0,0,(SUMIFS(условия!$208:$208,условия!$8:$8,"&lt;="&amp;V$9,условия!$9:$9,"&gt;="&amp;V$9)/DAY(EOMONTH(V$9,0)))*2*V45-U177))))</f>
        <v>0</v>
      </c>
      <c r="W177" s="33">
        <f>IF(W$9="",0,IF(OR(W$9="",DAY(EOMONTH(W$9,0))=0),0,IF((W45-((SUMIFS(условия!$208:$208,условия!$8:$8,"&lt;="&amp;W$9,условия!$9:$9,"&gt;="&amp;W$9)/DAY(EOMONTH(W$9,0)))*2*W45-V177))&lt;0,V177+W45,IF((SUMIFS(условия!$208:$208,условия!$8:$8,"&lt;="&amp;W$9,условия!$9:$9,"&gt;="&amp;W$9)/DAY(EOMONTH(W$9,0)))*2*W45-V177&lt;0,0,(SUMIFS(условия!$208:$208,условия!$8:$8,"&lt;="&amp;W$9,условия!$9:$9,"&gt;="&amp;W$9)/DAY(EOMONTH(W$9,0)))*2*W45-V177))))</f>
        <v>0</v>
      </c>
      <c r="X177" s="33">
        <f>IF(X$9="",0,IF(OR(X$9="",DAY(EOMONTH(X$9,0))=0),0,IF((X45-((SUMIFS(условия!$208:$208,условия!$8:$8,"&lt;="&amp;X$9,условия!$9:$9,"&gt;="&amp;X$9)/DAY(EOMONTH(X$9,0)))*2*X45-W177))&lt;0,W177+X45,IF((SUMIFS(условия!$208:$208,условия!$8:$8,"&lt;="&amp;X$9,условия!$9:$9,"&gt;="&amp;X$9)/DAY(EOMONTH(X$9,0)))*2*X45-W177&lt;0,0,(SUMIFS(условия!$208:$208,условия!$8:$8,"&lt;="&amp;X$9,условия!$9:$9,"&gt;="&amp;X$9)/DAY(EOMONTH(X$9,0)))*2*X45-W177))))</f>
        <v>136.75354838709677</v>
      </c>
      <c r="Y177" s="33">
        <f>IF(Y$9="",0,IF(OR(Y$9="",DAY(EOMONTH(Y$9,0))=0),0,IF((Y45-((SUMIFS(условия!$208:$208,условия!$8:$8,"&lt;="&amp;Y$9,условия!$9:$9,"&gt;="&amp;Y$9)/DAY(EOMONTH(Y$9,0)))*2*Y45-X177))&lt;0,X177+Y45,IF((SUMIFS(условия!$208:$208,условия!$8:$8,"&lt;="&amp;Y$9,условия!$9:$9,"&gt;="&amp;Y$9)/DAY(EOMONTH(Y$9,0)))*2*Y45-X177&lt;0,0,(SUMIFS(условия!$208:$208,условия!$8:$8,"&lt;="&amp;Y$9,условия!$9:$9,"&gt;="&amp;Y$9)/DAY(EOMONTH(Y$9,0)))*2*Y45-X177))))</f>
        <v>0</v>
      </c>
      <c r="Z177" s="33">
        <f>IF(Z$9="",0,IF(OR(Z$9="",DAY(EOMONTH(Z$9,0))=0),0,IF((Z45-((SUMIFS(условия!$208:$208,условия!$8:$8,"&lt;="&amp;Z$9,условия!$9:$9,"&gt;="&amp;Z$9)/DAY(EOMONTH(Z$9,0)))*2*Z45-Y177))&lt;0,Y177+Z45,IF((SUMIFS(условия!$208:$208,условия!$8:$8,"&lt;="&amp;Z$9,условия!$9:$9,"&gt;="&amp;Z$9)/DAY(EOMONTH(Z$9,0)))*2*Z45-Y177&lt;0,0,(SUMIFS(условия!$208:$208,условия!$8:$8,"&lt;="&amp;Z$9,условия!$9:$9,"&gt;="&amp;Z$9)/DAY(EOMONTH(Z$9,0)))*2*Z45-Y177))))</f>
        <v>114.36193548387095</v>
      </c>
      <c r="AA177" s="33">
        <f>IF(AA$9="",0,IF(OR(AA$9="",DAY(EOMONTH(AA$9,0))=0),0,IF((AA45-((SUMIFS(условия!$208:$208,условия!$8:$8,"&lt;="&amp;AA$9,условия!$9:$9,"&gt;="&amp;AA$9)/DAY(EOMONTH(AA$9,0)))*2*AA45-Z177))&lt;0,Z177+AA45,IF((SUMIFS(условия!$208:$208,условия!$8:$8,"&lt;="&amp;AA$9,условия!$9:$9,"&gt;="&amp;AA$9)/DAY(EOMONTH(AA$9,0)))*2*AA45-Z177&lt;0,0,(SUMIFS(условия!$208:$208,условия!$8:$8,"&lt;="&amp;AA$9,условия!$9:$9,"&gt;="&amp;AA$9)/DAY(EOMONTH(AA$9,0)))*2*AA45-Z177))))</f>
        <v>23.673677419354874</v>
      </c>
      <c r="AB177" s="33">
        <f>IF(AB$9="",0,IF(OR(AB$9="",DAY(EOMONTH(AB$9,0))=0),0,IF((AB45-((SUMIFS(условия!$208:$208,условия!$8:$8,"&lt;="&amp;AB$9,условия!$9:$9,"&gt;="&amp;AB$9)/DAY(EOMONTH(AB$9,0)))*2*AB45-AA177))&lt;0,AA177+AB45,IF((SUMIFS(условия!$208:$208,условия!$8:$8,"&lt;="&amp;AB$9,условия!$9:$9,"&gt;="&amp;AB$9)/DAY(EOMONTH(AB$9,0)))*2*AB45-AA177&lt;0,0,(SUMIFS(условия!$208:$208,условия!$8:$8,"&lt;="&amp;AB$9,условия!$9:$9,"&gt;="&amp;AB$9)/DAY(EOMONTH(AB$9,0)))*2*AB45-AA177))))</f>
        <v>192.76552258064513</v>
      </c>
      <c r="AC177" s="33">
        <f>IF(AC$9="",0,IF(OR(AC$9="",DAY(EOMONTH(AC$9,0))=0),0,IF((AC45-((SUMIFS(условия!$208:$208,условия!$8:$8,"&lt;="&amp;AC$9,условия!$9:$9,"&gt;="&amp;AC$9)/DAY(EOMONTH(AC$9,0)))*2*AC45-AB177))&lt;0,AB177+AC45,IF((SUMIFS(условия!$208:$208,условия!$8:$8,"&lt;="&amp;AC$9,условия!$9:$9,"&gt;="&amp;AC$9)/DAY(EOMONTH(AC$9,0)))*2*AC45-AB177&lt;0,0,(SUMIFS(условия!$208:$208,условия!$8:$8,"&lt;="&amp;AC$9,условия!$9:$9,"&gt;="&amp;AC$9)/DAY(EOMONTH(AC$9,0)))*2*AC45-AB177))))</f>
        <v>92.921187096774219</v>
      </c>
      <c r="AD177" s="33">
        <f>IF(AD$9="",0,IF(OR(AD$9="",DAY(EOMONTH(AD$9,0))=0),0,IF((AD45-((SUMIFS(условия!$208:$208,условия!$8:$8,"&lt;="&amp;AD$9,условия!$9:$9,"&gt;="&amp;AD$9)/DAY(EOMONTH(AD$9,0)))*2*AD45-AC177))&lt;0,AC177+AD45,IF((SUMIFS(условия!$208:$208,условия!$8:$8,"&lt;="&amp;AD$9,условия!$9:$9,"&gt;="&amp;AD$9)/DAY(EOMONTH(AD$9,0)))*2*AD45-AC177&lt;0,0,(SUMIFS(условия!$208:$208,условия!$8:$8,"&lt;="&amp;AD$9,условия!$9:$9,"&gt;="&amp;AD$9)/DAY(EOMONTH(AD$9,0)))*2*AD45-AC177))))</f>
        <v>284.37081290322578</v>
      </c>
      <c r="AE177" s="33">
        <f>IF(AE$9="",0,IF(OR(AE$9="",DAY(EOMONTH(AE$9,0))=0),0,IF((AE45-((SUMIFS(условия!$208:$208,условия!$8:$8,"&lt;="&amp;AE$9,условия!$9:$9,"&gt;="&amp;AE$9)/DAY(EOMONTH(AE$9,0)))*2*AE45-AD177))&lt;0,AD177+AE45,IF((SUMIFS(условия!$208:$208,условия!$8:$8,"&lt;="&amp;AE$9,условия!$9:$9,"&gt;="&amp;AE$9)/DAY(EOMONTH(AE$9,0)))*2*AE45-AD177&lt;0,0,(SUMIFS(условия!$208:$208,условия!$8:$8,"&lt;="&amp;AE$9,условия!$9:$9,"&gt;="&amp;AE$9)/DAY(EOMONTH(AE$9,0)))*2*AE45-AD177))))</f>
        <v>39.706606451612913</v>
      </c>
      <c r="AF177" s="33">
        <f>IF(AF$9="",0,IF(OR(AF$9="",DAY(EOMONTH(AF$9,0))=0),0,IF((AF45-((SUMIFS(условия!$208:$208,условия!$8:$8,"&lt;="&amp;AF$9,условия!$9:$9,"&gt;="&amp;AF$9)/DAY(EOMONTH(AF$9,0)))*2*AF45-AE177))&lt;0,AE177+AF45,IF((SUMIFS(условия!$208:$208,условия!$8:$8,"&lt;="&amp;AF$9,условия!$9:$9,"&gt;="&amp;AF$9)/DAY(EOMONTH(AF$9,0)))*2*AF45-AE177&lt;0,0,(SUMIFS(условия!$208:$208,условия!$8:$8,"&lt;="&amp;AF$9,условия!$9:$9,"&gt;="&amp;AF$9)/DAY(EOMONTH(AF$9,0)))*2*AF45-AE177))))</f>
        <v>519.43762683870955</v>
      </c>
      <c r="AG177" s="33">
        <f>IF(AG$9="",0,IF(OR(AG$9="",DAY(EOMONTH(AG$9,0))=0),0,IF((AG45-((SUMIFS(условия!$208:$208,условия!$8:$8,"&lt;="&amp;AG$9,условия!$9:$9,"&gt;="&amp;AG$9)/DAY(EOMONTH(AG$9,0)))*2*AG45-AF177))&lt;0,AF177+AG45,IF((SUMIFS(условия!$208:$208,условия!$8:$8,"&lt;="&amp;AG$9,условия!$9:$9,"&gt;="&amp;AG$9)/DAY(EOMONTH(AG$9,0)))*2*AG45-AF177&lt;0,0,(SUMIFS(условия!$208:$208,условия!$8:$8,"&lt;="&amp;AG$9,условия!$9:$9,"&gt;="&amp;AG$9)/DAY(EOMONTH(AG$9,0)))*2*AG45-AF177))))</f>
        <v>207.07232516129034</v>
      </c>
      <c r="AH177" s="33">
        <f>IF(AH$9="",0,IF(OR(AH$9="",DAY(EOMONTH(AH$9,0))=0),0,IF((AH45-((SUMIFS(условия!$208:$208,условия!$8:$8,"&lt;="&amp;AH$9,условия!$9:$9,"&gt;="&amp;AH$9)/DAY(EOMONTH(AH$9,0)))*2*AH45-AG177))&lt;0,AG177+AH45,IF((SUMIFS(условия!$208:$208,условия!$8:$8,"&lt;="&amp;AH$9,условия!$9:$9,"&gt;="&amp;AH$9)/DAY(EOMONTH(AH$9,0)))*2*AH45-AG177&lt;0,0,(SUMIFS(условия!$208:$208,условия!$8:$8,"&lt;="&amp;AH$9,условия!$9:$9,"&gt;="&amp;AH$9)/DAY(EOMONTH(AH$9,0)))*2*AH45-AG177))))</f>
        <v>551.7136567741934</v>
      </c>
      <c r="AI177" s="33">
        <f>IF(AI$9="",0,IF(OR(AI$9="",DAY(EOMONTH(AI$9,0))=0),0,IF((AI45-((SUMIFS(условия!$208:$208,условия!$8:$8,"&lt;="&amp;AI$9,условия!$9:$9,"&gt;="&amp;AI$9)/DAY(EOMONTH(AI$9,0)))*2*AI45-AH177))&lt;0,AH177+AI45,IF((SUMIFS(условия!$208:$208,условия!$8:$8,"&lt;="&amp;AI$9,условия!$9:$9,"&gt;="&amp;AI$9)/DAY(EOMONTH(AI$9,0)))*2*AI45-AH177&lt;0,0,(SUMIFS(условия!$208:$208,условия!$8:$8,"&lt;="&amp;AI$9,условия!$9:$9,"&gt;="&amp;AI$9)/DAY(EOMONTH(AI$9,0)))*2*AI45-AH177))))</f>
        <v>229.6247214658066</v>
      </c>
      <c r="AJ177" s="33">
        <f>IF(AJ$9="",0,IF(OR(AJ$9="",DAY(EOMONTH(AJ$9,0))=0),0,IF((AJ45-((SUMIFS(условия!$208:$208,условия!$8:$8,"&lt;="&amp;AJ$9,условия!$9:$9,"&gt;="&amp;AJ$9)/DAY(EOMONTH(AJ$9,0)))*2*AJ45-AI177))&lt;0,AI177+AJ45,IF((SUMIFS(условия!$208:$208,условия!$8:$8,"&lt;="&amp;AJ$9,условия!$9:$9,"&gt;="&amp;AJ$9)/DAY(EOMONTH(AJ$9,0)))*2*AJ45-AI177&lt;0,0,(SUMIFS(условия!$208:$208,условия!$8:$8,"&lt;="&amp;AJ$9,условия!$9:$9,"&gt;="&amp;AJ$9)/DAY(EOMONTH(AJ$9,0)))*2*AJ45-AI177))))</f>
        <v>336.14968059870955</v>
      </c>
      <c r="AK177" s="33">
        <f>IF(AK$9="",0,IF(OR(AK$9="",DAY(EOMONTH(AK$9,0))=0),0,IF((AK45-((SUMIFS(условия!$208:$208,условия!$8:$8,"&lt;="&amp;AK$9,условия!$9:$9,"&gt;="&amp;AK$9)/DAY(EOMONTH(AK$9,0)))*2*AK45-AJ177))&lt;0,AJ177+AK45,IF((SUMIFS(условия!$208:$208,условия!$8:$8,"&lt;="&amp;AK$9,условия!$9:$9,"&gt;="&amp;AK$9)/DAY(EOMONTH(AK$9,0)))*2*AK45-AJ177&lt;0,0,(SUMIFS(условия!$208:$208,условия!$8:$8,"&lt;="&amp;AK$9,условия!$9:$9,"&gt;="&amp;AK$9)/DAY(EOMONTH(AK$9,0)))*2*AK45-AJ177))))</f>
        <v>149.9030810012905</v>
      </c>
      <c r="AL177" s="33">
        <f>IF(AL$9="",0,IF(OR(AL$9="",DAY(EOMONTH(AL$9,0))=0),0,IF((AL45-((SUMIFS(условия!$208:$208,условия!$8:$8,"&lt;="&amp;AL$9,условия!$9:$9,"&gt;="&amp;AL$9)/DAY(EOMONTH(AL$9,0)))*2*AL45-AK177))&lt;0,AK177+AL45,IF((SUMIFS(условия!$208:$208,условия!$8:$8,"&lt;="&amp;AL$9,условия!$9:$9,"&gt;="&amp;AL$9)/DAY(EOMONTH(AL$9,0)))*2*AL45-AK177&lt;0,0,(SUMIFS(условия!$208:$208,условия!$8:$8,"&lt;="&amp;AL$9,условия!$9:$9,"&gt;="&amp;AL$9)/DAY(EOMONTH(AL$9,0)))*2*AL45-AK177))))</f>
        <v>323.23312957935457</v>
      </c>
      <c r="AM177" s="33">
        <f>IF(AM$9="",0,IF(OR(AM$9="",DAY(EOMONTH(AM$9,0))=0),0,IF((AM45-((SUMIFS(условия!$208:$208,условия!$8:$8,"&lt;="&amp;AM$9,условия!$9:$9,"&gt;="&amp;AM$9)/DAY(EOMONTH(AM$9,0)))*2*AM45-AL177))&lt;0,AL177+AM45,IF((SUMIFS(условия!$208:$208,условия!$8:$8,"&lt;="&amp;AM$9,условия!$9:$9,"&gt;="&amp;AM$9)/DAY(EOMONTH(AM$9,0)))*2*AM45-AL177&lt;0,0,(SUMIFS(условия!$208:$208,условия!$8:$8,"&lt;="&amp;AM$9,условия!$9:$9,"&gt;="&amp;AM$9)/DAY(EOMONTH(AM$9,0)))*2*AM45-AL177))))</f>
        <v>247.8454075045164</v>
      </c>
      <c r="AN177" s="33">
        <f>IF(AN$9="",0,IF(OR(AN$9="",DAY(EOMONTH(AN$9,0))=0),0,IF((AN45-((SUMIFS(условия!$208:$208,условия!$8:$8,"&lt;="&amp;AN$9,условия!$9:$9,"&gt;="&amp;AN$9)/DAY(EOMONTH(AN$9,0)))*2*AN45-AM177))&lt;0,AM177+AN45,IF((SUMIFS(условия!$208:$208,условия!$8:$8,"&lt;="&amp;AN$9,условия!$9:$9,"&gt;="&amp;AN$9)/DAY(EOMONTH(AN$9,0)))*2*AN45-AM177&lt;0,0,(SUMIFS(условия!$208:$208,условия!$8:$8,"&lt;="&amp;AN$9,условия!$9:$9,"&gt;="&amp;AN$9)/DAY(EOMONTH(AN$9,0)))*2*AN45-AM177))))</f>
        <v>647.60308657548342</v>
      </c>
      <c r="AO177" s="33">
        <f>IF(AO$9="",0,IF(OR(AO$9="",DAY(EOMONTH(AO$9,0))=0),0,IF((AO45-((SUMIFS(условия!$208:$208,условия!$8:$8,"&lt;="&amp;AO$9,условия!$9:$9,"&gt;="&amp;AO$9)/DAY(EOMONTH(AO$9,0)))*2*AO45-AN177))&lt;0,AN177+AO45,IF((SUMIFS(условия!$208:$208,условия!$8:$8,"&lt;="&amp;AO$9,условия!$9:$9,"&gt;="&amp;AO$9)/DAY(EOMONTH(AO$9,0)))*2*AO45-AN177&lt;0,0,(SUMIFS(условия!$208:$208,условия!$8:$8,"&lt;="&amp;AO$9,условия!$9:$9,"&gt;="&amp;AO$9)/DAY(EOMONTH(AO$9,0)))*2*AO45-AN177))))</f>
        <v>534.33500023741965</v>
      </c>
      <c r="AP177" s="33">
        <f>IF(AP$9="",0,IF(OR(AP$9="",DAY(EOMONTH(AP$9,0))=0),0,IF((AP45-((SUMIFS(условия!$208:$208,условия!$8:$8,"&lt;="&amp;AP$9,условия!$9:$9,"&gt;="&amp;AP$9)/DAY(EOMONTH(AP$9,0)))*2*AP45-AO177))&lt;0,AO177+AP45,IF((SUMIFS(условия!$208:$208,условия!$8:$8,"&lt;="&amp;AP$9,условия!$9:$9,"&gt;="&amp;AP$9)/DAY(EOMONTH(AP$9,0)))*2*AP45-AO177&lt;0,0,(SUMIFS(условия!$208:$208,условия!$8:$8,"&lt;="&amp;AP$9,условия!$9:$9,"&gt;="&amp;AP$9)/DAY(EOMONTH(AP$9,0)))*2*AP45-AO177))))</f>
        <v>1026.5909005625804</v>
      </c>
      <c r="AQ177" s="33">
        <f>IF(AQ$9="",0,IF(OR(AQ$9="",DAY(EOMONTH(AQ$9,0))=0),0,IF((AQ45-((SUMIFS(условия!$208:$208,условия!$8:$8,"&lt;="&amp;AQ$9,условия!$9:$9,"&gt;="&amp;AQ$9)/DAY(EOMONTH(AQ$9,0)))*2*AQ45-AP177))&lt;0,AP177+AQ45,IF((SUMIFS(условия!$208:$208,условия!$8:$8,"&lt;="&amp;AQ$9,условия!$9:$9,"&gt;="&amp;AQ$9)/DAY(EOMONTH(AQ$9,0)))*2*AQ45-AP177&lt;0,0,(SUMIFS(условия!$208:$208,условия!$8:$8,"&lt;="&amp;AQ$9,условия!$9:$9,"&gt;="&amp;AQ$9)/DAY(EOMONTH(AQ$9,0)))*2*AQ45-AP177))))</f>
        <v>314.1765626632257</v>
      </c>
      <c r="AR177" s="33">
        <f>IF(AR$9="",0,IF(OR(AR$9="",DAY(EOMONTH(AR$9,0))=0),0,IF((AR45-((SUMIFS(условия!$208:$208,условия!$8:$8,"&lt;="&amp;AR$9,условия!$9:$9,"&gt;="&amp;AR$9)/DAY(EOMONTH(AR$9,0)))*2*AR45-AQ177))&lt;0,AQ177+AR45,IF((SUMIFS(условия!$208:$208,условия!$8:$8,"&lt;="&amp;AR$9,условия!$9:$9,"&gt;="&amp;AR$9)/DAY(EOMONTH(AR$9,0)))*2*AR45-AQ177&lt;0,0,(SUMIFS(условия!$208:$208,условия!$8:$8,"&lt;="&amp;AR$9,условия!$9:$9,"&gt;="&amp;AR$9)/DAY(EOMONTH(AR$9,0)))*2*AR45-AQ177))))</f>
        <v>1333.6680205625808</v>
      </c>
      <c r="AS177" s="33">
        <f>IF(AS$9="",0,IF(OR(AS$9="",DAY(EOMONTH(AS$9,0))=0),0,IF((AS45-((SUMIFS(условия!$208:$208,условия!$8:$8,"&lt;="&amp;AS$9,условия!$9:$9,"&gt;="&amp;AS$9)/DAY(EOMONTH(AS$9,0)))*2*AS45-AR177))&lt;0,AR177+AS45,IF((SUMIFS(условия!$208:$208,условия!$8:$8,"&lt;="&amp;AS$9,условия!$9:$9,"&gt;="&amp;AS$9)/DAY(EOMONTH(AS$9,0)))*2*AS45-AR177&lt;0,0,(SUMIFS(условия!$208:$208,условия!$8:$8,"&lt;="&amp;AS$9,условия!$9:$9,"&gt;="&amp;AS$9)/DAY(EOMONTH(AS$9,0)))*2*AS45-AR177))))</f>
        <v>805.33485943741925</v>
      </c>
      <c r="AT177" s="33">
        <f>IF(AT$9="",0,IF(OR(AT$9="",DAY(EOMONTH(AT$9,0))=0),0,IF((AT45-((SUMIFS(условия!$208:$208,условия!$8:$8,"&lt;="&amp;AT$9,условия!$9:$9,"&gt;="&amp;AT$9)/DAY(EOMONTH(AT$9,0)))*2*AT45-AS177))&lt;0,AS177+AT45,IF((SUMIFS(условия!$208:$208,условия!$8:$8,"&lt;="&amp;AT$9,условия!$9:$9,"&gt;="&amp;AT$9)/DAY(EOMONTH(AT$9,0)))*2*AT45-AS177&lt;0,0,(SUMIFS(условия!$208:$208,условия!$8:$8,"&lt;="&amp;AT$9,условия!$9:$9,"&gt;="&amp;AT$9)/DAY(EOMONTH(AT$9,0)))*2*AT45-AS177))))</f>
        <v>1424.4218373367739</v>
      </c>
      <c r="AU177" s="33">
        <f>IF(AU$9="",0,IF(OR(AU$9="",DAY(EOMONTH(AU$9,0))=0),0,IF((AU45-((SUMIFS(условия!$208:$208,условия!$8:$8,"&lt;="&amp;AU$9,условия!$9:$9,"&gt;="&amp;AU$9)/DAY(EOMONTH(AU$9,0)))*2*AU45-AT177))&lt;0,AT177+AU45,IF((SUMIFS(условия!$208:$208,условия!$8:$8,"&lt;="&amp;AU$9,условия!$9:$9,"&gt;="&amp;AU$9)/DAY(EOMONTH(AU$9,0)))*2*AU45-AT177&lt;0,0,(SUMIFS(условия!$208:$208,условия!$8:$8,"&lt;="&amp;AU$9,условия!$9:$9,"&gt;="&amp;AU$9)/DAY(EOMONTH(AU$9,0)))*2*AU45-AT177))))</f>
        <v>872.91642826322641</v>
      </c>
      <c r="AV177" s="33">
        <f>IF(AV$9="",0,IF(OR(AV$9="",DAY(EOMONTH(AV$9,0))=0),0,IF((AV45-((SUMIFS(условия!$208:$208,условия!$8:$8,"&lt;="&amp;AV$9,условия!$9:$9,"&gt;="&amp;AV$9)/DAY(EOMONTH(AV$9,0)))*2*AV45-AU177))&lt;0,AU177+AV45,IF((SUMIFS(условия!$208:$208,условия!$8:$8,"&lt;="&amp;AV$9,условия!$9:$9,"&gt;="&amp;AV$9)/DAY(EOMONTH(AV$9,0)))*2*AV45-AU177&lt;0,0,(SUMIFS(условия!$208:$208,условия!$8:$8,"&lt;="&amp;AV$9,условия!$9:$9,"&gt;="&amp;AV$9)/DAY(EOMONTH(AV$9,0)))*2*AV45-AU177))))</f>
        <v>791.24344786580559</v>
      </c>
      <c r="AW177" s="33">
        <f>IF(AW$9="",0,IF(OR(AW$9="",DAY(EOMONTH(AW$9,0))=0),0,IF((AW45-((SUMIFS(условия!$208:$208,условия!$8:$8,"&lt;="&amp;AW$9,условия!$9:$9,"&gt;="&amp;AW$9)/DAY(EOMONTH(AW$9,0)))*2*AW45-AV177))&lt;0,AV177+AW45,IF((SUMIFS(условия!$208:$208,условия!$8:$8,"&lt;="&amp;AW$9,условия!$9:$9,"&gt;="&amp;AW$9)/DAY(EOMONTH(AW$9,0)))*2*AW45-AV177&lt;0,0,(SUMIFS(условия!$208:$208,условия!$8:$8,"&lt;="&amp;AW$9,условия!$9:$9,"&gt;="&amp;AW$9)/DAY(EOMONTH(AW$9,0)))*2*AW45-AV177))))</f>
        <v>638.97325613419434</v>
      </c>
      <c r="AX177" s="33">
        <f>IF(AX$9="",0,IF(OR(AX$9="",DAY(EOMONTH(AX$9,0))=0),0,IF((AX45-((SUMIFS(условия!$208:$208,условия!$8:$8,"&lt;="&amp;AX$9,условия!$9:$9,"&gt;="&amp;AX$9)/DAY(EOMONTH(AX$9,0)))*2*AX45-AW177))&lt;0,AW177+AX45,IF((SUMIFS(условия!$208:$208,условия!$8:$8,"&lt;="&amp;AX$9,условия!$9:$9,"&gt;="&amp;AX$9)/DAY(EOMONTH(AX$9,0)))*2*AX45-AW177&lt;0,0,(SUMIFS(условия!$208:$208,условия!$8:$8,"&lt;="&amp;AX$9,условия!$9:$9,"&gt;="&amp;AX$9)/DAY(EOMONTH(AX$9,0)))*2*AX45-AW177))))</f>
        <v>751.90546386580536</v>
      </c>
      <c r="AY177" s="33">
        <f>IF(AY$9="",0,IF(OR(AY$9="",DAY(EOMONTH(AY$9,0))=0),0,IF((AY45-((SUMIFS(условия!$208:$208,условия!$8:$8,"&lt;="&amp;AY$9,условия!$9:$9,"&gt;="&amp;AY$9)/DAY(EOMONTH(AY$9,0)))*2*AY45-AX177))&lt;0,AX177+AY45,IF((SUMIFS(условия!$208:$208,условия!$8:$8,"&lt;="&amp;AY$9,условия!$9:$9,"&gt;="&amp;AY$9)/DAY(EOMONTH(AY$9,0)))*2*AY45-AX177&lt;0,0,(SUMIFS(условия!$208:$208,условия!$8:$8,"&lt;="&amp;AY$9,условия!$9:$9,"&gt;="&amp;AY$9)/DAY(EOMONTH(AY$9,0)))*2*AY45-AX177))))</f>
        <v>925.30664658580713</v>
      </c>
      <c r="AZ177" s="33">
        <f>IF(AZ$9="",0,IF(OR(AZ$9="",DAY(EOMONTH(AZ$9,0))=0),0,IF((AZ45-((SUMIFS(условия!$208:$208,условия!$8:$8,"&lt;="&amp;AZ$9,условия!$9:$9,"&gt;="&amp;AZ$9)/DAY(EOMONTH(AZ$9,0)))*2*AZ45-AY177))&lt;0,AY177+AZ45,IF((SUMIFS(условия!$208:$208,условия!$8:$8,"&lt;="&amp;AZ$9,условия!$9:$9,"&gt;="&amp;AZ$9)/DAY(EOMONTH(AZ$9,0)))*2*AZ45-AY177&lt;0,0,(SUMIFS(условия!$208:$208,условия!$8:$8,"&lt;="&amp;AZ$9,условия!$9:$9,"&gt;="&amp;AZ$9)/DAY(EOMONTH(AZ$9,0)))*2*AZ45-AY177))))</f>
        <v>1699.660828614192</v>
      </c>
      <c r="BA177" s="33">
        <f>IF(BA$9="",0,IF(OR(BA$9="",DAY(EOMONTH(BA$9,0))=0),0,IF((BA45-((SUMIFS(условия!$208:$208,условия!$8:$8,"&lt;="&amp;BA$9,условия!$9:$9,"&gt;="&amp;BA$9)/DAY(EOMONTH(BA$9,0)))*2*BA45-AZ177))&lt;0,AZ177+BA45,IF((SUMIFS(условия!$208:$208,условия!$8:$8,"&lt;="&amp;BA$9,условия!$9:$9,"&gt;="&amp;BA$9)/DAY(EOMONTH(BA$9,0)))*2*BA45-AZ177&lt;0,0,(SUMIFS(условия!$208:$208,условия!$8:$8,"&lt;="&amp;BA$9,условия!$9:$9,"&gt;="&amp;BA$9)/DAY(EOMONTH(BA$9,0)))*2*BA45-AZ177))))</f>
        <v>1752.6551497083881</v>
      </c>
      <c r="BB177" s="33">
        <f>IF(BB$9="",0,IF(OR(BB$9="",DAY(EOMONTH(BB$9,0))=0),0,IF((BB45-((SUMIFS(условия!$208:$208,условия!$8:$8,"&lt;="&amp;BB$9,условия!$9:$9,"&gt;="&amp;BB$9)/DAY(EOMONTH(BB$9,0)))*2*BB45-BA177))&lt;0,BA177+BB45,IF((SUMIFS(условия!$208:$208,условия!$8:$8,"&lt;="&amp;BB$9,условия!$9:$9,"&gt;="&amp;BB$9)/DAY(EOMONTH(BB$9,0)))*2*BB45-BA177&lt;0,0,(SUMIFS(условия!$208:$208,условия!$8:$8,"&lt;="&amp;BB$9,условия!$9:$9,"&gt;="&amp;BB$9)/DAY(EOMONTH(BB$9,0)))*2*BB45-BA177))))</f>
        <v>2790.8820022916125</v>
      </c>
      <c r="BC177" s="33">
        <f>IF(BC$9="",0,IF(OR(BC$9="",DAY(EOMONTH(BC$9,0))=0),0,IF((BC45-((SUMIFS(условия!$208:$208,условия!$8:$8,"&lt;="&amp;BC$9,условия!$9:$9,"&gt;="&amp;BC$9)/DAY(EOMONTH(BC$9,0)))*2*BC45-BB177))&lt;0,BB177+BC45,IF((SUMIFS(условия!$208:$208,условия!$8:$8,"&lt;="&amp;BC$9,условия!$9:$9,"&gt;="&amp;BC$9)/DAY(EOMONTH(BC$9,0)))*2*BC45-BB177&lt;0,0,(SUMIFS(условия!$208:$208,условия!$8:$8,"&lt;="&amp;BC$9,условия!$9:$9,"&gt;="&amp;BC$9)/DAY(EOMONTH(BC$9,0)))*2*BC45-BB177))))</f>
        <v>1097.5961396438715</v>
      </c>
      <c r="BD177" s="33">
        <f>IF(BD$9="",0,IF(OR(BD$9="",DAY(EOMONTH(BD$9,0))=0),0,IF((BD45-((SUMIFS(условия!$208:$208,условия!$8:$8,"&lt;="&amp;BD$9,условия!$9:$9,"&gt;="&amp;BD$9)/DAY(EOMONTH(BD$9,0)))*2*BD45-BC177))&lt;0,BC177+BD45,IF((SUMIFS(условия!$208:$208,условия!$8:$8,"&lt;="&amp;BD$9,условия!$9:$9,"&gt;="&amp;BD$9)/DAY(EOMONTH(BD$9,0)))*2*BD45-BC177&lt;0,0,(SUMIFS(условия!$208:$208,условия!$8:$8,"&lt;="&amp;BD$9,условия!$9:$9,"&gt;="&amp;BD$9)/DAY(EOMONTH(BD$9,0)))*2*BD45-BC177))))</f>
        <v>2357.7279708077417</v>
      </c>
      <c r="BE177" s="33">
        <f>IF(BE$9="",0,IF(OR(BE$9="",DAY(EOMONTH(BE$9,0))=0),0,IF((BE45-((SUMIFS(условия!$208:$208,условия!$8:$8,"&lt;="&amp;BE$9,условия!$9:$9,"&gt;="&amp;BE$9)/DAY(EOMONTH(BE$9,0)))*2*BE45-BD177))&lt;0,BD177+BE45,IF((SUMIFS(условия!$208:$208,условия!$8:$8,"&lt;="&amp;BE$9,условия!$9:$9,"&gt;="&amp;BE$9)/DAY(EOMONTH(BE$9,0)))*2*BE45-BD177&lt;0,0,(SUMIFS(условия!$208:$208,условия!$8:$8,"&lt;="&amp;BE$9,условия!$9:$9,"&gt;="&amp;BE$9)/DAY(EOMONTH(BE$9,0)))*2*BE45-BD177))))</f>
        <v>1972.8308771922598</v>
      </c>
      <c r="BF177" s="33">
        <f>IF(BF$9="",0,IF(OR(BF$9="",DAY(EOMONTH(BF$9,0))=0),0,IF((BF45-((SUMIFS(условия!$208:$208,условия!$8:$8,"&lt;="&amp;BF$9,условия!$9:$9,"&gt;="&amp;BF$9)/DAY(EOMONTH(BF$9,0)))*2*BF45-BE177))&lt;0,BE177+BF45,IF((SUMIFS(условия!$208:$208,условия!$8:$8,"&lt;="&amp;BF$9,условия!$9:$9,"&gt;="&amp;BF$9)/DAY(EOMONTH(BF$9,0)))*2*BF45-BE177&lt;0,0,(SUMIFS(условия!$208:$208,условия!$8:$8,"&lt;="&amp;BF$9,условия!$9:$9,"&gt;="&amp;BF$9)/DAY(EOMONTH(BF$9,0)))*2*BF45-BE177))))</f>
        <v>2702.6901963561281</v>
      </c>
      <c r="BG177" s="33">
        <f>IF(BG$9="",0,IF(OR(BG$9="",DAY(EOMONTH(BG$9,0))=0),0,IF((BG45-((SUMIFS(условия!$208:$208,условия!$8:$8,"&lt;="&amp;BG$9,условия!$9:$9,"&gt;="&amp;BG$9)/DAY(EOMONTH(BG$9,0)))*2*BG45-BF177))&lt;0,BF177+BG45,IF((SUMIFS(условия!$208:$208,условия!$8:$8,"&lt;="&amp;BG$9,условия!$9:$9,"&gt;="&amp;BG$9)/DAY(EOMONTH(BG$9,0)))*2*BG45-BF177&lt;0,0,(SUMIFS(условия!$208:$208,условия!$8:$8,"&lt;="&amp;BG$9,условия!$9:$9,"&gt;="&amp;BG$9)/DAY(EOMONTH(BG$9,0)))*2*BG45-BF177))))</f>
        <v>2114.5409793238737</v>
      </c>
      <c r="BH177" s="33">
        <f>IF(BH$9="",0,IF(OR(BH$9="",DAY(EOMONTH(BH$9,0))=0),0,IF((BH45-((SUMIFS(условия!$208:$208,условия!$8:$8,"&lt;="&amp;BH$9,условия!$9:$9,"&gt;="&amp;BH$9)/DAY(EOMONTH(BH$9,0)))*2*BH45-BG177))&lt;0,BG177+BH45,IF((SUMIFS(условия!$208:$208,условия!$8:$8,"&lt;="&amp;BH$9,условия!$9:$9,"&gt;="&amp;BH$9)/DAY(EOMONTH(BH$9,0)))*2*BH45-BG177&lt;0,0,(SUMIFS(условия!$208:$208,условия!$8:$8,"&lt;="&amp;BH$9,условия!$9:$9,"&gt;="&amp;BH$9)/DAY(EOMONTH(BH$9,0)))*2*BH45-BG177))))</f>
        <v>1374.9942609341915</v>
      </c>
      <c r="BI177" s="33">
        <f>IF(BI$9="",0,IF(OR(BI$9="",DAY(EOMONTH(BI$9,0))=0),0,IF((BI45-((SUMIFS(условия!$208:$208,условия!$8:$8,"&lt;="&amp;BI$9,условия!$9:$9,"&gt;="&amp;BI$9)/DAY(EOMONTH(BI$9,0)))*2*BI45-BH177))&lt;0,BH177+BI45,IF((SUMIFS(условия!$208:$208,условия!$8:$8,"&lt;="&amp;BI$9,условия!$9:$9,"&gt;="&amp;BI$9)/DAY(EOMONTH(BI$9,0)))*2*BI45-BH177&lt;0,0,(SUMIFS(условия!$208:$208,условия!$8:$8,"&lt;="&amp;BI$9,условия!$9:$9,"&gt;="&amp;BI$9)/DAY(EOMONTH(BI$9,0)))*2*BI45-BH177))))</f>
        <v>1623.9913902658086</v>
      </c>
      <c r="BJ177" s="33">
        <f>IF(BJ$9="",0,IF(OR(BJ$9="",DAY(EOMONTH(BJ$9,0))=0),0,IF((BJ45-((SUMIFS(условия!$208:$208,условия!$8:$8,"&lt;="&amp;BJ$9,условия!$9:$9,"&gt;="&amp;BJ$9)/DAY(EOMONTH(BJ$9,0)))*2*BJ45-BI177))&lt;0,BI177+BJ45,IF((SUMIFS(условия!$208:$208,условия!$8:$8,"&lt;="&amp;BJ$9,условия!$9:$9,"&gt;="&amp;BJ$9)/DAY(EOMONTH(BJ$9,0)))*2*BJ45-BI177&lt;0,0,(SUMIFS(условия!$208:$208,условия!$8:$8,"&lt;="&amp;BJ$9,условия!$9:$9,"&gt;="&amp;BJ$9)/DAY(EOMONTH(BJ$9,0)))*2*BJ45-BI177))))</f>
        <v>1292.5074257341917</v>
      </c>
      <c r="BK177" s="33">
        <f>IF(BK$9="",0,IF(OR(BK$9="",DAY(EOMONTH(BK$9,0))=0),0,IF((BK45-((SUMIFS(условия!$208:$208,условия!$8:$8,"&lt;="&amp;BK$9,условия!$9:$9,"&gt;="&amp;BK$9)/DAY(EOMONTH(BK$9,0)))*2*BK45-BJ177))&lt;0,BJ177+BK45,IF((SUMIFS(условия!$208:$208,условия!$8:$8,"&lt;="&amp;BK$9,условия!$9:$9,"&gt;="&amp;BK$9)/DAY(EOMONTH(BK$9,0)))*2*BK45-BJ177&lt;0,0,(SUMIFS(условия!$208:$208,условия!$8:$8,"&lt;="&amp;BK$9,условия!$9:$9,"&gt;="&amp;BK$9)/DAY(EOMONTH(BK$9,0)))*2*BK45-BJ177))))</f>
        <v>2224.3967183690347</v>
      </c>
      <c r="BL177" s="33">
        <f>IF(BL$9="",0,IF(OR(BL$9="",DAY(EOMONTH(BL$9,0))=0),0,IF((BL45-((SUMIFS(условия!$208:$208,условия!$8:$8,"&lt;="&amp;BL$9,условия!$9:$9,"&gt;="&amp;BL$9)/DAY(EOMONTH(BL$9,0)))*2*BL45-BK177))&lt;0,BK177+BL45,IF((SUMIFS(условия!$208:$208,условия!$8:$8,"&lt;="&amp;BL$9,условия!$9:$9,"&gt;="&amp;BL$9)/DAY(EOMONTH(BL$9,0)))*2*BL45-BK177&lt;0,0,(SUMIFS(условия!$208:$208,условия!$8:$8,"&lt;="&amp;BL$9,условия!$9:$9,"&gt;="&amp;BL$9)/DAY(EOMONTH(BL$9,0)))*2*BL45-BK177))))</f>
        <v>3279.8319561909666</v>
      </c>
      <c r="BM177" s="33">
        <f>IF(BM$9="",0,IF(OR(BM$9="",DAY(EOMONTH(BM$9,0))=0),0,IF((BM45-((SUMIFS(условия!$208:$208,условия!$8:$8,"&lt;="&amp;BM$9,условия!$9:$9,"&gt;="&amp;BM$9)/DAY(EOMONTH(BM$9,0)))*2*BM45-BL177))&lt;0,BL177+BM45,IF((SUMIFS(условия!$208:$208,условия!$8:$8,"&lt;="&amp;BM$9,условия!$9:$9,"&gt;="&amp;BM$9)/DAY(EOMONTH(BM$9,0)))*2*BM45-BL177&lt;0,0,(SUMIFS(условия!$208:$208,условия!$8:$8,"&lt;="&amp;BM$9,условия!$9:$9,"&gt;="&amp;BM$9)/DAY(EOMONTH(BM$9,0)))*2*BM45-BL177))))</f>
        <v>3959.2431108541969</v>
      </c>
      <c r="BN177" s="33">
        <f>IF(BN$9="",0,IF(OR(BN$9="",DAY(EOMONTH(BN$9,0))=0),0,IF((BN45-((SUMIFS(условия!$208:$208,условия!$8:$8,"&lt;="&amp;BN$9,условия!$9:$9,"&gt;="&amp;BN$9)/DAY(EOMONTH(BN$9,0)))*2*BN45-BM177))&lt;0,BM177+BN45,IF((SUMIFS(условия!$208:$208,условия!$8:$8,"&lt;="&amp;BN$9,условия!$9:$9,"&gt;="&amp;BN$9)/DAY(EOMONTH(BN$9,0)))*2*BN45-BM177&lt;0,0,(SUMIFS(условия!$208:$208,условия!$8:$8,"&lt;="&amp;BN$9,условия!$9:$9,"&gt;="&amp;BN$9)/DAY(EOMONTH(BN$9,0)))*2*BN45-BM177))))</f>
        <v>5567.9863547458044</v>
      </c>
      <c r="BO177" s="33">
        <f>IF(BO$9="",0,IF(OR(BO$9="",DAY(EOMONTH(BO$9,0))=0),0,IF((BO45-((SUMIFS(условия!$208:$208,условия!$8:$8,"&lt;="&amp;BO$9,условия!$9:$9,"&gt;="&amp;BO$9)/DAY(EOMONTH(BO$9,0)))*2*BO45-BN177))&lt;0,BN177+BO45,IF((SUMIFS(условия!$208:$208,условия!$8:$8,"&lt;="&amp;BO$9,условия!$9:$9,"&gt;="&amp;BO$9)/DAY(EOMONTH(BO$9,0)))*2*BO45-BN177&lt;0,0,(SUMIFS(условия!$208:$208,условия!$8:$8,"&lt;="&amp;BO$9,условия!$9:$9,"&gt;="&amp;BO$9)/DAY(EOMONTH(BO$9,0)))*2*BO45-BN177))))</f>
        <v>2585.6662491251655</v>
      </c>
      <c r="BP177" s="33">
        <f>IF(BP$9="",0,IF(OR(BP$9="",DAY(EOMONTH(BP$9,0))=0),0,IF((BP45-((SUMIFS(условия!$208:$208,условия!$8:$8,"&lt;="&amp;BP$9,условия!$9:$9,"&gt;="&amp;BP$9)/DAY(EOMONTH(BP$9,0)))*2*BP45-BO177))&lt;0,BO177+BP45,IF((SUMIFS(условия!$208:$208,условия!$8:$8,"&lt;="&amp;BP$9,условия!$9:$9,"&gt;="&amp;BP$9)/DAY(EOMONTH(BP$9,0)))*2*BP45-BO177&lt;0,0,(SUMIFS(условия!$208:$208,условия!$8:$8,"&lt;="&amp;BP$9,условия!$9:$9,"&gt;="&amp;BP$9)/DAY(EOMONTH(BP$9,0)))*2*BP45-BO177))))</f>
        <v>4364.471390183222</v>
      </c>
      <c r="BQ177" s="33">
        <f>IF(BQ$9="",0,IF(OR(BQ$9="",DAY(EOMONTH(BQ$9,0))=0),0,IF((BQ45-((SUMIFS(условия!$208:$208,условия!$8:$8,"&lt;="&amp;BQ$9,условия!$9:$9,"&gt;="&amp;BQ$9)/DAY(EOMONTH(BQ$9,0)))*2*BQ45-BP177))&lt;0,BP177+BQ45,IF((SUMIFS(условия!$208:$208,условия!$8:$8,"&lt;="&amp;BQ$9,условия!$9:$9,"&gt;="&amp;BQ$9)/DAY(EOMONTH(BQ$9,0)))*2*BQ45-BP177&lt;0,0,(SUMIFS(условия!$208:$208,условия!$8:$8,"&lt;="&amp;BQ$9,условия!$9:$9,"&gt;="&amp;BQ$9)/DAY(EOMONTH(BQ$9,0)))*2*BQ45-BP177))))</f>
        <v>4657.2316139767809</v>
      </c>
      <c r="BR177" s="33">
        <f>IF(BR$9="",0,IF(OR(BR$9="",DAY(EOMONTH(BR$9,0))=0),0,IF((BR45-((SUMIFS(условия!$208:$208,условия!$8:$8,"&lt;="&amp;BR$9,условия!$9:$9,"&gt;="&amp;BR$9)/DAY(EOMONTH(BR$9,0)))*2*BR45-BQ177))&lt;0,BQ177+BR45,IF((SUMIFS(условия!$208:$208,условия!$8:$8,"&lt;="&amp;BR$9,условия!$9:$9,"&gt;="&amp;BR$9)/DAY(EOMONTH(BR$9,0)))*2*BR45-BQ177&lt;0,0,(SUMIFS(условия!$208:$208,условия!$8:$8,"&lt;="&amp;BR$9,условия!$9:$9,"&gt;="&amp;BR$9)/DAY(EOMONTH(BR$9,0)))*2*BR45-BQ177))))</f>
        <v>4747.2450596748313</v>
      </c>
      <c r="BS177" s="33">
        <f>IF(BS$9="",0,IF(OR(BS$9="",DAY(EOMONTH(BS$9,0))=0),0,IF((BS45-((SUMIFS(условия!$208:$208,условия!$8:$8,"&lt;="&amp;BS$9,условия!$9:$9,"&gt;="&amp;BS$9)/DAY(EOMONTH(BS$9,0)))*2*BS45-BR177))&lt;0,BR177+BS45,IF((SUMIFS(условия!$208:$208,условия!$8:$8,"&lt;="&amp;BS$9,условия!$9:$9,"&gt;="&amp;BS$9)/DAY(EOMONTH(BS$9,0)))*2*BS45-BR177&lt;0,0,(SUMIFS(условия!$208:$208,условия!$8:$8,"&lt;="&amp;BS$9,условия!$9:$9,"&gt;="&amp;BS$9)/DAY(EOMONTH(BS$9,0)))*2*BS45-BR177))))</f>
        <v>4942.2713622643678</v>
      </c>
      <c r="BT177" s="33">
        <f>IF(BT$9="",0,IF(OR(BT$9="",DAY(EOMONTH(BT$9,0))=0),0,IF((BT45-((SUMIFS(условия!$208:$208,условия!$8:$8,"&lt;="&amp;BT$9,условия!$9:$9,"&gt;="&amp;BT$9)/DAY(EOMONTH(BT$9,0)))*2*BT45-BS177))&lt;0,BS177+BT45,IF((SUMIFS(условия!$208:$208,условия!$8:$8,"&lt;="&amp;BT$9,условия!$9:$9,"&gt;="&amp;BT$9)/DAY(EOMONTH(BT$9,0)))*2*BT45-BS177&lt;0,0,(SUMIFS(условия!$208:$208,условия!$8:$8,"&lt;="&amp;BT$9,условия!$9:$9,"&gt;="&amp;BT$9)/DAY(EOMONTH(BT$9,0)))*2*BT45-BS177))))</f>
        <v>2076.679520997568</v>
      </c>
      <c r="BU177" s="33">
        <f>IF(BU$9="",0,IF(OR(BU$9="",DAY(EOMONTH(BU$9,0))=0),0,IF((BU45-((SUMIFS(условия!$208:$208,условия!$8:$8,"&lt;="&amp;BU$9,условия!$9:$9,"&gt;="&amp;BU$9)/DAY(EOMONTH(BU$9,0)))*2*BU45-BT177))&lt;0,BT177+BU45,IF((SUMIFS(условия!$208:$208,условия!$8:$8,"&lt;="&amp;BU$9,условия!$9:$9,"&gt;="&amp;BU$9)/DAY(EOMONTH(BU$9,0)))*2*BU45-BT177&lt;0,0,(SUMIFS(условия!$208:$208,условия!$8:$8,"&lt;="&amp;BU$9,условия!$9:$9,"&gt;="&amp;BU$9)/DAY(EOMONTH(BU$9,0)))*2*BU45-BT177))))</f>
        <v>3955.5659031304313</v>
      </c>
      <c r="BV177" s="33">
        <f>IF(BV$9="",0,IF(OR(BV$9="",DAY(EOMONTH(BV$9,0))=0),0,IF((BV45-((SUMIFS(условия!$208:$208,условия!$8:$8,"&lt;="&amp;BV$9,условия!$9:$9,"&gt;="&amp;BV$9)/DAY(EOMONTH(BV$9,0)))*2*BV45-BU177))&lt;0,BU177+BV45,IF((SUMIFS(условия!$208:$208,условия!$8:$8,"&lt;="&amp;BV$9,условия!$9:$9,"&gt;="&amp;BV$9)/DAY(EOMONTH(BV$9,0)))*2*BV45-BU177&lt;0,0,(SUMIFS(условия!$208:$208,условия!$8:$8,"&lt;="&amp;BV$9,условия!$9:$9,"&gt;="&amp;BV$9)/DAY(EOMONTH(BV$9,0)))*2*BV45-BU177))))</f>
        <v>1910.7631439095685</v>
      </c>
      <c r="BW177" s="33">
        <f>IF(BW$9="",0,IF(OR(BW$9="",DAY(EOMONTH(BW$9,0))=0),0,IF((BW45-((SUMIFS(условия!$208:$208,условия!$8:$8,"&lt;="&amp;BW$9,условия!$9:$9,"&gt;="&amp;BW$9)/DAY(EOMONTH(BW$9,0)))*2*BW45-BV177))&lt;0,BV177+BW45,IF((SUMIFS(условия!$208:$208,условия!$8:$8,"&lt;="&amp;BW$9,условия!$9:$9,"&gt;="&amp;BW$9)/DAY(EOMONTH(BW$9,0)))*2*BW45-BV177&lt;0,0,(SUMIFS(условия!$208:$208,условия!$8:$8,"&lt;="&amp;BW$9,условия!$9:$9,"&gt;="&amp;BW$9)/DAY(EOMONTH(BW$9,0)))*2*BW45-BV177))))</f>
        <v>5163.2383345152057</v>
      </c>
      <c r="BX177" s="33">
        <f>IF(BX$9="",0,IF(OR(BX$9="",DAY(EOMONTH(BX$9,0))=0),0,IF((BX45-((SUMIFS(условия!$208:$208,условия!$8:$8,"&lt;="&amp;BX$9,условия!$9:$9,"&gt;="&amp;BX$9)/DAY(EOMONTH(BX$9,0)))*2*BX45-BW177))&lt;0,BW177+BX45,IF((SUMIFS(условия!$208:$208,условия!$8:$8,"&lt;="&amp;BX$9,условия!$9:$9,"&gt;="&amp;BX$9)/DAY(EOMONTH(BX$9,0)))*2*BX45-BW177&lt;0,0,(SUMIFS(условия!$208:$208,условия!$8:$8,"&lt;="&amp;BX$9,условия!$9:$9,"&gt;="&amp;BX$9)/DAY(EOMONTH(BX$9,0)))*2*BX45-BW177))))</f>
        <v>5908.1244851711936</v>
      </c>
      <c r="BY177" s="33">
        <f>IF(BY$9="",0,IF(OR(BY$9="",DAY(EOMONTH(BY$9,0))=0),0,IF((BY45-((SUMIFS(условия!$208:$208,условия!$8:$8,"&lt;="&amp;BY$9,условия!$9:$9,"&gt;="&amp;BY$9)/DAY(EOMONTH(BY$9,0)))*2*BY45-BX177))&lt;0,BX177+BY45,IF((SUMIFS(условия!$208:$208,условия!$8:$8,"&lt;="&amp;BY$9,условия!$9:$9,"&gt;="&amp;BY$9)/DAY(EOMONTH(BY$9,0)))*2*BY45-BX177&lt;0,0,(SUMIFS(условия!$208:$208,условия!$8:$8,"&lt;="&amp;BY$9,условия!$9:$9,"&gt;="&amp;BY$9)/DAY(EOMONTH(BY$9,0)))*2*BY45-BX177))))</f>
        <v>8652.757935399648</v>
      </c>
      <c r="BZ177" s="33">
        <f>IF(BZ$9="",0,IF(OR(BZ$9="",DAY(EOMONTH(BZ$9,0))=0),0,IF((BZ45-((SUMIFS(условия!$208:$208,условия!$8:$8,"&lt;="&amp;BZ$9,условия!$9:$9,"&gt;="&amp;BZ$9)/DAY(EOMONTH(BZ$9,0)))*2*BZ45-BY177))&lt;0,BY177+BZ45,IF((SUMIFS(условия!$208:$208,условия!$8:$8,"&lt;="&amp;BZ$9,условия!$9:$9,"&gt;="&amp;BZ$9)/DAY(EOMONTH(BZ$9,0)))*2*BZ45-BY177&lt;0,0,(SUMIFS(условия!$208:$208,условия!$8:$8,"&lt;="&amp;BZ$9,условия!$9:$9,"&gt;="&amp;BZ$9)/DAY(EOMONTH(BZ$9,0)))*2*BZ45-BY177))))</f>
        <v>10510.583618264354</v>
      </c>
      <c r="CA177" s="33">
        <f>IF(CA$9="",0,IF(OR(CA$9="",DAY(EOMONTH(CA$9,0))=0),0,IF((CA45-((SUMIFS(условия!$208:$208,условия!$8:$8,"&lt;="&amp;CA$9,условия!$9:$9,"&gt;="&amp;CA$9)/DAY(EOMONTH(CA$9,0)))*2*CA45-BZ177))&lt;0,BZ177+CA45,IF((SUMIFS(условия!$208:$208,условия!$8:$8,"&lt;="&amp;CA$9,условия!$9:$9,"&gt;="&amp;CA$9)/DAY(EOMONTH(CA$9,0)))*2*CA45-BZ177&lt;0,0,(SUMIFS(условия!$208:$208,условия!$8:$8,"&lt;="&amp;CA$9,условия!$9:$9,"&gt;="&amp;CA$9)/DAY(EOMONTH(CA$9,0)))*2*CA45-BZ177))))</f>
        <v>5889.9061906646821</v>
      </c>
      <c r="CB177" s="33">
        <f>IF(CB$9="",0,IF(OR(CB$9="",DAY(EOMONTH(CB$9,0))=0),0,IF((CB45-((SUMIFS(условия!$208:$208,условия!$8:$8,"&lt;="&amp;CB$9,условия!$9:$9,"&gt;="&amp;CB$9)/DAY(EOMONTH(CB$9,0)))*2*CB45-CA177))&lt;0,CA177+CB45,IF((SUMIFS(условия!$208:$208,условия!$8:$8,"&lt;="&amp;CB$9,условия!$9:$9,"&gt;="&amp;CB$9)/DAY(EOMONTH(CB$9,0)))*2*CB45-CA177&lt;0,0,(SUMIFS(условия!$208:$208,условия!$8:$8,"&lt;="&amp;CB$9,условия!$9:$9,"&gt;="&amp;CB$9)/DAY(EOMONTH(CB$9,0)))*2*CB45-CA177))))</f>
        <v>4077.5793874101564</v>
      </c>
      <c r="CC177" s="33">
        <f>IF(CC$9="",0,IF(OR(CC$9="",DAY(EOMONTH(CC$9,0))=0),0,IF((CC45-((SUMIFS(условия!$208:$208,условия!$8:$8,"&lt;="&amp;CC$9,условия!$9:$9,"&gt;="&amp;CC$9)/DAY(EOMONTH(CC$9,0)))*2*CC45-CB177))&lt;0,CB177+CC45,IF((SUMIFS(условия!$208:$208,условия!$8:$8,"&lt;="&amp;CC$9,условия!$9:$9,"&gt;="&amp;CC$9)/DAY(EOMONTH(CC$9,0)))*2*CC45-CB177&lt;0,0,(SUMIFS(условия!$208:$208,условия!$8:$8,"&lt;="&amp;CC$9,условия!$9:$9,"&gt;="&amp;CC$9)/DAY(EOMONTH(CC$9,0)))*2*CC45-CB177))))</f>
        <v>8848.1794401098468</v>
      </c>
      <c r="CD177" s="33">
        <f>IF(CD$9="",0,IF(OR(CD$9="",DAY(EOMONTH(CD$9,0))=0),0,IF((CD45-((SUMIFS(условия!$208:$208,условия!$8:$8,"&lt;="&amp;CD$9,условия!$9:$9,"&gt;="&amp;CD$9)/DAY(EOMONTH(CD$9,0)))*2*CD45-CC177))&lt;0,CC177+CD45,IF((SUMIFS(условия!$208:$208,условия!$8:$8,"&lt;="&amp;CD$9,условия!$9:$9,"&gt;="&amp;CD$9)/DAY(EOMONTH(CD$9,0)))*2*CD45-CC177&lt;0,0,(SUMIFS(условия!$208:$208,условия!$8:$8,"&lt;="&amp;CD$9,условия!$9:$9,"&gt;="&amp;CD$9)/DAY(EOMONTH(CD$9,0)))*2*CD45-CC177))))</f>
        <v>4600.0153874514435</v>
      </c>
      <c r="CE177" s="33">
        <f>IF(CE$9="",0,IF(OR(CE$9="",DAY(EOMONTH(CE$9,0))=0),0,IF((CE45-((SUMIFS(условия!$208:$208,условия!$8:$8,"&lt;="&amp;CE$9,условия!$9:$9,"&gt;="&amp;CE$9)/DAY(EOMONTH(CE$9,0)))*2*CE45-CD177))&lt;0,CD177+CE45,IF((SUMIFS(условия!$208:$208,условия!$8:$8,"&lt;="&amp;CE$9,условия!$9:$9,"&gt;="&amp;CE$9)/DAY(EOMONTH(CE$9,0)))*2*CE45-CD177&lt;0,0,(SUMIFS(условия!$208:$208,условия!$8:$8,"&lt;="&amp;CE$9,условия!$9:$9,"&gt;="&amp;CE$9)/DAY(EOMONTH(CE$9,0)))*2*CE45-CD177))))</f>
        <v>9263.7550292909582</v>
      </c>
      <c r="CF177" s="33">
        <f>IF(CF$9="",0,IF(OR(CF$9="",DAY(EOMONTH(CF$9,0))=0),0,IF((CF45-((SUMIFS(условия!$208:$208,условия!$8:$8,"&lt;="&amp;CF$9,условия!$9:$9,"&gt;="&amp;CF$9)/DAY(EOMONTH(CF$9,0)))*2*CF45-CE177))&lt;0,CE177+CF45,IF((SUMIFS(условия!$208:$208,условия!$8:$8,"&lt;="&amp;CF$9,условия!$9:$9,"&gt;="&amp;CF$9)/DAY(EOMONTH(CF$9,0)))*2*CF45-CE177&lt;0,0,(SUMIFS(условия!$208:$208,условия!$8:$8,"&lt;="&amp;CF$9,условия!$9:$9,"&gt;="&amp;CF$9)/DAY(EOMONTH(CF$9,0)))*2*CF45-CE177))))</f>
        <v>782.83757718130073</v>
      </c>
      <c r="CG177" s="33">
        <f>IF(CG$9="",0,IF(OR(CG$9="",DAY(EOMONTH(CG$9,0))=0),0,IF((CG45-((SUMIFS(условия!$208:$208,условия!$8:$8,"&lt;="&amp;CG$9,условия!$9:$9,"&gt;="&amp;CG$9)/DAY(EOMONTH(CG$9,0)))*2*CG45-CF177))&lt;0,CF177+CG45,IF((SUMIFS(условия!$208:$208,условия!$8:$8,"&lt;="&amp;CG$9,условия!$9:$9,"&gt;="&amp;CG$9)/DAY(EOMONTH(CG$9,0)))*2*CG45-CF177&lt;0,0,(SUMIFS(условия!$208:$208,условия!$8:$8,"&lt;="&amp;CG$9,условия!$9:$9,"&gt;="&amp;CG$9)/DAY(EOMONTH(CG$9,0)))*2*CG45-CF177))))</f>
        <v>7854.7709568347</v>
      </c>
      <c r="CH177" s="33">
        <f>IF(CH$9="",0,IF(OR(CH$9="",DAY(EOMONTH(CH$9,0))=0),0,IF((CH45-((SUMIFS(условия!$208:$208,условия!$8:$8,"&lt;="&amp;CH$9,условия!$9:$9,"&gt;="&amp;CH$9)/DAY(EOMONTH(CH$9,0)))*2*CH45-CG177))&lt;0,CG177+CH45,IF((SUMIFS(условия!$208:$208,условия!$8:$8,"&lt;="&amp;CH$9,условия!$9:$9,"&gt;="&amp;CH$9)/DAY(EOMONTH(CH$9,0)))*2*CH45-CG177&lt;0,0,(SUMIFS(условия!$208:$208,условия!$8:$8,"&lt;="&amp;CH$9,условия!$9:$9,"&gt;="&amp;CH$9)/DAY(EOMONTH(CH$9,0)))*2*CH45-CG177))))</f>
        <v>537.1663056582056</v>
      </c>
      <c r="CI177" s="33">
        <f>IF(CI$9="",0,IF(OR(CI$9="",DAY(EOMONTH(CI$9,0))=0),0,IF((CI45-((SUMIFS(условия!$208:$208,условия!$8:$8,"&lt;="&amp;CI$9,условия!$9:$9,"&gt;="&amp;CI$9)/DAY(EOMONTH(CI$9,0)))*2*CI45-CH177))&lt;0,CH177+CI45,IF((SUMIFS(условия!$208:$208,условия!$8:$8,"&lt;="&amp;CI$9,условия!$9:$9,"&gt;="&amp;CI$9)/DAY(EOMONTH(CI$9,0)))*2*CI45-CH177&lt;0,0,(SUMIFS(условия!$208:$208,условия!$8:$8,"&lt;="&amp;CI$9,условия!$9:$9,"&gt;="&amp;CI$9)/DAY(EOMONTH(CI$9,0)))*2*CI45-CH177))))</f>
        <v>9572.7119235319897</v>
      </c>
      <c r="CJ177" s="33">
        <f>IF(CJ$9="",0,IF(OR(CJ$9="",DAY(EOMONTH(CJ$9,0))=0),0,IF((CJ45-((SUMIFS(условия!$208:$208,условия!$8:$8,"&lt;="&amp;CJ$9,условия!$9:$9,"&gt;="&amp;CJ$9)/DAY(EOMONTH(CJ$9,0)))*2*CJ45-CI177))&lt;0,CI177+CJ45,IF((SUMIFS(условия!$208:$208,условия!$8:$8,"&lt;="&amp;CJ$9,условия!$9:$9,"&gt;="&amp;CJ$9)/DAY(EOMONTH(CJ$9,0)))*2*CJ45-CI177&lt;0,0,(SUMIFS(условия!$208:$208,условия!$8:$8,"&lt;="&amp;CJ$9,условия!$9:$9,"&gt;="&amp;CJ$9)/DAY(EOMONTH(CJ$9,0)))*2*CJ45-CI177))))</f>
        <v>6220.2152257288108</v>
      </c>
      <c r="CK177" s="33">
        <f>IF(CK$9="",0,IF(OR(CK$9="",DAY(EOMONTH(CK$9,0))=0),0,IF((CK45-((SUMIFS(условия!$208:$208,условия!$8:$8,"&lt;="&amp;CK$9,условия!$9:$9,"&gt;="&amp;CK$9)/DAY(EOMONTH(CK$9,0)))*2*CK45-CJ177))&lt;0,CJ177+CK45,IF((SUMIFS(условия!$208:$208,условия!$8:$8,"&lt;="&amp;CK$9,условия!$9:$9,"&gt;="&amp;CK$9)/DAY(EOMONTH(CK$9,0)))*2*CK45-CJ177&lt;0,0,(SUMIFS(условия!$208:$208,условия!$8:$8,"&lt;="&amp;CK$9,условия!$9:$9,"&gt;="&amp;CK$9)/DAY(EOMONTH(CK$9,0)))*2*CK45-CJ177))))</f>
        <v>14474.183403036091</v>
      </c>
      <c r="CL177" s="33">
        <f>IF(CL$9="",0,IF(OR(CL$9="",DAY(EOMONTH(CL$9,0))=0),0,IF((CL45-((SUMIFS(условия!$208:$208,условия!$8:$8,"&lt;="&amp;CL$9,условия!$9:$9,"&gt;="&amp;CL$9)/DAY(EOMONTH(CL$9,0)))*2*CL45-CK177))&lt;0,CK177+CL45,IF((SUMIFS(условия!$208:$208,условия!$8:$8,"&lt;="&amp;CL$9,условия!$9:$9,"&gt;="&amp;CL$9)/DAY(EOMONTH(CL$9,0)))*2*CL45-CK177&lt;0,0,(SUMIFS(условия!$208:$208,условия!$8:$8,"&lt;="&amp;CL$9,условия!$9:$9,"&gt;="&amp;CL$9)/DAY(EOMONTH(CL$9,0)))*2*CL45-CK177))))</f>
        <v>12664.801139171901</v>
      </c>
      <c r="CM177" s="33">
        <f>IF(CM$9="",0,IF(OR(CM$9="",DAY(EOMONTH(CM$9,0))=0),0,IF((CM45-((SUMIFS(условия!$208:$208,условия!$8:$8,"&lt;="&amp;CM$9,условия!$9:$9,"&gt;="&amp;CM$9)/DAY(EOMONTH(CM$9,0)))*2*CM45-CL177))&lt;0,CL177+CM45,IF((SUMIFS(условия!$208:$208,условия!$8:$8,"&lt;="&amp;CM$9,условия!$9:$9,"&gt;="&amp;CM$9)/DAY(EOMONTH(CM$9,0)))*2*CM45-CL177&lt;0,0,(SUMIFS(условия!$208:$208,условия!$8:$8,"&lt;="&amp;CM$9,условия!$9:$9,"&gt;="&amp;CM$9)/DAY(EOMONTH(CM$9,0)))*2*CM45-CL177))))</f>
        <v>10474.004667073263</v>
      </c>
      <c r="CN177" s="33">
        <f>IF(CN$9="",0,IF(OR(CN$9="",DAY(EOMONTH(CN$9,0))=0),0,IF((CN45-((SUMIFS(условия!$208:$208,условия!$8:$8,"&lt;="&amp;CN$9,условия!$9:$9,"&gt;="&amp;CN$9)/DAY(EOMONTH(CN$9,0)))*2*CN45-CM177))&lt;0,CM177+CN45,IF((SUMIFS(условия!$208:$208,условия!$8:$8,"&lt;="&amp;CN$9,условия!$9:$9,"&gt;="&amp;CN$9)/DAY(EOMONTH(CN$9,0)))*2*CN45-CM177&lt;0,0,(SUMIFS(условия!$208:$208,условия!$8:$8,"&lt;="&amp;CN$9,условия!$9:$9,"&gt;="&amp;CN$9)/DAY(EOMONTH(CN$9,0)))*2*CN45-CM177))))</f>
        <v>2810.6014791167763</v>
      </c>
      <c r="CO177" s="33">
        <f>IF(CO$9="",0,IF(OR(CO$9="",DAY(EOMONTH(CO$9,0))=0),0,IF((CO45-((SUMIFS(условия!$208:$208,условия!$8:$8,"&lt;="&amp;CO$9,условия!$9:$9,"&gt;="&amp;CO$9)/DAY(EOMONTH(CO$9,0)))*2*CO45-CN177))&lt;0,CN177+CO45,IF((SUMIFS(условия!$208:$208,условия!$8:$8,"&lt;="&amp;CO$9,условия!$9:$9,"&gt;="&amp;CO$9)/DAY(EOMONTH(CO$9,0)))*2*CO45-CN177&lt;0,0,(SUMIFS(условия!$208:$208,условия!$8:$8,"&lt;="&amp;CO$9,условия!$9:$9,"&gt;="&amp;CO$9)/DAY(EOMONTH(CO$9,0)))*2*CO45-CN177))))</f>
        <v>14408.321469926424</v>
      </c>
      <c r="CP177" s="33">
        <f>IF(CP$9="",0,IF(OR(CP$9="",DAY(EOMONTH(CP$9,0))=0),0,IF((CP45-((SUMIFS(условия!$208:$208,условия!$8:$8,"&lt;="&amp;CP$9,условия!$9:$9,"&gt;="&amp;CP$9)/DAY(EOMONTH(CP$9,0)))*2*CP45-CO177))&lt;0,CO177+CP45,IF((SUMIFS(условия!$208:$208,условия!$8:$8,"&lt;="&amp;CP$9,условия!$9:$9,"&gt;="&amp;CP$9)/DAY(EOMONTH(CP$9,0)))*2*CP45-CO177&lt;0,0,(SUMIFS(условия!$208:$208,условия!$8:$8,"&lt;="&amp;CP$9,условия!$9:$9,"&gt;="&amp;CP$9)/DAY(EOMONTH(CP$9,0)))*2*CP45-CO177))))</f>
        <v>3489.1783695285485</v>
      </c>
      <c r="CQ177" s="33">
        <f>IF(CQ$9="",0,IF(OR(CQ$9="",DAY(EOMONTH(CQ$9,0))=0),0,IF((CQ45-((SUMIFS(условия!$208:$208,условия!$8:$8,"&lt;="&amp;CQ$9,условия!$9:$9,"&gt;="&amp;CQ$9)/DAY(EOMONTH(CQ$9,0)))*2*CQ45-CP177))&lt;0,CP177+CQ45,IF((SUMIFS(условия!$208:$208,условия!$8:$8,"&lt;="&amp;CQ$9,условия!$9:$9,"&gt;="&amp;CQ$9)/DAY(EOMONTH(CQ$9,0)))*2*CQ45-CP177&lt;0,0,(SUMIFS(условия!$208:$208,условия!$8:$8,"&lt;="&amp;CQ$9,условия!$9:$9,"&gt;="&amp;CQ$9)/DAY(EOMONTH(CQ$9,0)))*2*CQ45-CP177))))</f>
        <v>14966.735191371034</v>
      </c>
      <c r="CR177" s="33">
        <f>IF(CR$9="",0,IF(OR(CR$9="",DAY(EOMONTH(CR$9,0))=0),0,IF((CR45-((SUMIFS(условия!$208:$208,условия!$8:$8,"&lt;="&amp;CR$9,условия!$9:$9,"&gt;="&amp;CR$9)/DAY(EOMONTH(CR$9,0)))*2*CR45-CQ177))&lt;0,CQ177+CR45,IF((SUMIFS(условия!$208:$208,условия!$8:$8,"&lt;="&amp;CR$9,условия!$9:$9,"&gt;="&amp;CR$9)/DAY(EOMONTH(CR$9,0)))*2*CR45-CQ177&lt;0,0,(SUMIFS(условия!$208:$208,условия!$8:$8,"&lt;="&amp;CR$9,условия!$9:$9,"&gt;="&amp;CR$9)/DAY(EOMONTH(CR$9,0)))*2*CR45-CQ177))))</f>
        <v>0</v>
      </c>
      <c r="CS177" s="33">
        <f>IF(CS$9="",0,IF(OR(CS$9="",DAY(EOMONTH(CS$9,0))=0),0,IF((CS45-((SUMIFS(условия!$208:$208,условия!$8:$8,"&lt;="&amp;CS$9,условия!$9:$9,"&gt;="&amp;CS$9)/DAY(EOMONTH(CS$9,0)))*2*CS45-CR177))&lt;0,CR177+CS45,IF((SUMIFS(условия!$208:$208,условия!$8:$8,"&lt;="&amp;CS$9,условия!$9:$9,"&gt;="&amp;CS$9)/DAY(EOMONTH(CS$9,0)))*2*CS45-CR177&lt;0,0,(SUMIFS(условия!$208:$208,условия!$8:$8,"&lt;="&amp;CS$9,условия!$9:$9,"&gt;="&amp;CS$9)/DAY(EOMONTH(CS$9,0)))*2*CS45-CR177))))</f>
        <v>11503.137970114558</v>
      </c>
      <c r="CT177" s="33">
        <f>IF(CT$9="",0,IF(OR(CT$9="",DAY(EOMONTH(CT$9,0))=0),0,IF((CT45-((SUMIFS(условия!$208:$208,условия!$8:$8,"&lt;="&amp;CT$9,условия!$9:$9,"&gt;="&amp;CT$9)/DAY(EOMONTH(CT$9,0)))*2*CT45-CS177))&lt;0,CS177+CT45,IF((SUMIFS(условия!$208:$208,условия!$8:$8,"&lt;="&amp;CT$9,условия!$9:$9,"&gt;="&amp;CT$9)/DAY(EOMONTH(CT$9,0)))*2*CT45-CS177&lt;0,0,(SUMIFS(условия!$208:$208,условия!$8:$8,"&lt;="&amp;CT$9,условия!$9:$9,"&gt;="&amp;CT$9)/DAY(EOMONTH(CT$9,0)))*2*CT45-CS177))))</f>
        <v>0</v>
      </c>
      <c r="CU177" s="33">
        <f>IF(CU$9="",0,IF(OR(CU$9="",DAY(EOMONTH(CU$9,0))=0),0,IF((CU45-((SUMIFS(условия!$208:$208,условия!$8:$8,"&lt;="&amp;CU$9,условия!$9:$9,"&gt;="&amp;CU$9)/DAY(EOMONTH(CU$9,0)))*2*CU45-CT177))&lt;0,CT177+CU45,IF((SUMIFS(условия!$208:$208,условия!$8:$8,"&lt;="&amp;CU$9,условия!$9:$9,"&gt;="&amp;CU$9)/DAY(EOMONTH(CU$9,0)))*2*CU45-CT177&lt;0,0,(SUMIFS(условия!$208:$208,условия!$8:$8,"&lt;="&amp;CU$9,условия!$9:$9,"&gt;="&amp;CU$9)/DAY(EOMONTH(CU$9,0)))*2*CU45-CT177))))</f>
        <v>13450.828626271461</v>
      </c>
      <c r="CV177" s="33">
        <f>IF(CV$9="",0,IF(OR(CV$9="",DAY(EOMONTH(CV$9,0))=0),0,IF((CV45-((SUMIFS(условия!$208:$208,условия!$8:$8,"&lt;="&amp;CV$9,условия!$9:$9,"&gt;="&amp;CV$9)/DAY(EOMONTH(CV$9,0)))*2*CV45-CU177))&lt;0,CU177+CV45,IF((SUMIFS(условия!$208:$208,условия!$8:$8,"&lt;="&amp;CV$9,условия!$9:$9,"&gt;="&amp;CV$9)/DAY(EOMONTH(CV$9,0)))*2*CV45-CU177&lt;0,0,(SUMIFS(условия!$208:$208,условия!$8:$8,"&lt;="&amp;CV$9,условия!$9:$9,"&gt;="&amp;CV$9)/DAY(EOMONTH(CV$9,0)))*2*CV45-CU177))))</f>
        <v>7541.0917689638591</v>
      </c>
      <c r="CW177" s="33">
        <f>IF(CW$9="",0,IF(OR(CW$9="",DAY(EOMONTH(CW$9,0))=0),0,IF((CW45-((SUMIFS(условия!$208:$208,условия!$8:$8,"&lt;="&amp;CW$9,условия!$9:$9,"&gt;="&amp;CW$9)/DAY(EOMONTH(CW$9,0)))*2*CW45-CV177))&lt;0,CV177+CW45,IF((SUMIFS(условия!$208:$208,условия!$8:$8,"&lt;="&amp;CW$9,условия!$9:$9,"&gt;="&amp;CW$9)/DAY(EOMONTH(CW$9,0)))*2*CW45-CV177&lt;0,0,(SUMIFS(условия!$208:$208,условия!$8:$8,"&lt;="&amp;CW$9,условия!$9:$9,"&gt;="&amp;CW$9)/DAY(EOMONTH(CW$9,0)))*2*CW45-CV177))))</f>
        <v>19914.640417183804</v>
      </c>
      <c r="CX177" s="33">
        <f>IF(CX$9="",0,IF(OR(CX$9="",DAY(EOMONTH(CX$9,0))=0),0,IF((CX45-((SUMIFS(условия!$208:$208,условия!$8:$8,"&lt;="&amp;CX$9,условия!$9:$9,"&gt;="&amp;CX$9)/DAY(EOMONTH(CX$9,0)))*2*CX45-CW177))&lt;0,CW177+CX45,IF((SUMIFS(условия!$208:$208,условия!$8:$8,"&lt;="&amp;CX$9,условия!$9:$9,"&gt;="&amp;CX$9)/DAY(EOMONTH(CX$9,0)))*2*CX45-CW177&lt;0,0,(SUMIFS(условия!$208:$208,условия!$8:$8,"&lt;="&amp;CX$9,условия!$9:$9,"&gt;="&amp;CX$9)/DAY(EOMONTH(CX$9,0)))*2*CX45-CW177))))</f>
        <v>16026.133738305467</v>
      </c>
      <c r="CY177" s="33">
        <f>IF(CY$9="",0,IF(OR(CY$9="",DAY(EOMONTH(CY$9,0))=0),0,IF((CY45-((SUMIFS(условия!$208:$208,условия!$8:$8,"&lt;="&amp;CY$9,условия!$9:$9,"&gt;="&amp;CY$9)/DAY(EOMONTH(CY$9,0)))*2*CY45-CX177))&lt;0,CX177+CY45,IF((SUMIFS(условия!$208:$208,условия!$8:$8,"&lt;="&amp;CY$9,условия!$9:$9,"&gt;="&amp;CY$9)/DAY(EOMONTH(CY$9,0)))*2*CY45-CX177&lt;0,0,(SUMIFS(условия!$208:$208,условия!$8:$8,"&lt;="&amp;CY$9,условия!$9:$9,"&gt;="&amp;CY$9)/DAY(EOMONTH(CY$9,0)))*2*CY45-CX177))))</f>
        <v>14557.923112655044</v>
      </c>
      <c r="CZ177" s="33">
        <f>IF(CZ$9="",0,IF(OR(CZ$9="",DAY(EOMONTH(CZ$9,0))=0),0,IF((CZ45-((SUMIFS(условия!$208:$208,условия!$8:$8,"&lt;="&amp;CZ$9,условия!$9:$9,"&gt;="&amp;CZ$9)/DAY(EOMONTH(CZ$9,0)))*2*CZ45-CY177))&lt;0,CY177+CZ45,IF((SUMIFS(условия!$208:$208,условия!$8:$8,"&lt;="&amp;CZ$9,условия!$9:$9,"&gt;="&amp;CZ$9)/DAY(EOMONTH(CZ$9,0)))*2*CZ45-CY177&lt;0,0,(SUMIFS(условия!$208:$208,условия!$8:$8,"&lt;="&amp;CZ$9,условия!$9:$9,"&gt;="&amp;CZ$9)/DAY(EOMONTH(CZ$9,0)))*2*CZ45-CY177))))</f>
        <v>1204.6292643784454</v>
      </c>
      <c r="DA177" s="33">
        <f>IF(DA$9="",0,IF(OR(DA$9="",DAY(EOMONTH(DA$9,0))=0),0,IF((DA45-((SUMIFS(условия!$208:$208,условия!$8:$8,"&lt;="&amp;DA$9,условия!$9:$9,"&gt;="&amp;DA$9)/DAY(EOMONTH(DA$9,0)))*2*DA45-CZ177))&lt;0,CZ177+DA45,IF((SUMIFS(условия!$208:$208,условия!$8:$8,"&lt;="&amp;DA$9,условия!$9:$9,"&gt;="&amp;DA$9)/DAY(EOMONTH(DA$9,0)))*2*DA45-CZ177&lt;0,0,(SUMIFS(условия!$208:$208,условия!$8:$8,"&lt;="&amp;DA$9,условия!$9:$9,"&gt;="&amp;DA$9)/DAY(EOMONTH(DA$9,0)))*2*DA45-CZ177))))</f>
        <v>18502.166754434897</v>
      </c>
      <c r="DB177" s="33">
        <f>IF(DB$9="",0,IF(OR(DB$9="",DAY(EOMONTH(DB$9,0))=0),0,IF((DB45-((SUMIFS(условия!$208:$208,условия!$8:$8,"&lt;="&amp;DB$9,условия!$9:$9,"&gt;="&amp;DB$9)/DAY(EOMONTH(DB$9,0)))*2*DB45-DA177))&lt;0,DA177+DB45,IF((SUMIFS(условия!$208:$208,условия!$8:$8,"&lt;="&amp;DB$9,условия!$9:$9,"&gt;="&amp;DB$9)/DAY(EOMONTH(DB$9,0)))*2*DB45-DA177&lt;0,0,(SUMIFS(условия!$208:$208,условия!$8:$8,"&lt;="&amp;DB$9,условия!$9:$9,"&gt;="&amp;DB$9)/DAY(EOMONTH(DB$9,0)))*2*DB45-DA177))))</f>
        <v>2671.4110654608339</v>
      </c>
      <c r="DC177" s="33">
        <f>IF(DC$9="",0,IF(OR(DC$9="",DAY(EOMONTH(DC$9,0))=0),0,IF((DC45-((SUMIFS(условия!$208:$208,условия!$8:$8,"&lt;="&amp;DC$9,условия!$9:$9,"&gt;="&amp;DC$9)/DAY(EOMONTH(DC$9,0)))*2*DC45-DB177))&lt;0,DB177+DC45,IF((SUMIFS(условия!$208:$208,условия!$8:$8,"&lt;="&amp;DC$9,условия!$9:$9,"&gt;="&amp;DC$9)/DAY(EOMONTH(DC$9,0)))*2*DC45-DB177&lt;0,0,(SUMIFS(условия!$208:$208,условия!$8:$8,"&lt;="&amp;DC$9,условия!$9:$9,"&gt;="&amp;DC$9)/DAY(EOMONTH(DC$9,0)))*2*DC45-DB177))))</f>
        <v>19175.538809546644</v>
      </c>
      <c r="DD177" s="33">
        <f>IF(DD$9="",0,IF(OR(DD$9="",DAY(EOMONTH(DD$9,0))=0),0,IF((DD45-((SUMIFS(условия!$208:$208,условия!$8:$8,"&lt;="&amp;DD$9,условия!$9:$9,"&gt;="&amp;DD$9)/DAY(EOMONTH(DD$9,0)))*2*DD45-DC177))&lt;0,DC177+DD45,IF((SUMIFS(условия!$208:$208,условия!$8:$8,"&lt;="&amp;DD$9,условия!$9:$9,"&gt;="&amp;DD$9)/DAY(EOMONTH(DD$9,0)))*2*DD45-DC177&lt;0,0,(SUMIFS(условия!$208:$208,условия!$8:$8,"&lt;="&amp;DD$9,условия!$9:$9,"&gt;="&amp;DD$9)/DAY(EOMONTH(DD$9,0)))*2*DD45-DC177))))</f>
        <v>0</v>
      </c>
      <c r="DE177" s="33">
        <f>IF(DE$9="",0,IF(OR(DE$9="",DAY(EOMONTH(DE$9,0))=0),0,IF((DE45-((SUMIFS(условия!$208:$208,условия!$8:$8,"&lt;="&amp;DE$9,условия!$9:$9,"&gt;="&amp;DE$9)/DAY(EOMONTH(DE$9,0)))*2*DE45-DD177))&lt;0,DD177+DE45,IF((SUMIFS(условия!$208:$208,условия!$8:$8,"&lt;="&amp;DE$9,условия!$9:$9,"&gt;="&amp;DE$9)/DAY(EOMONTH(DE$9,0)))*2*DE45-DD177&lt;0,0,(SUMIFS(условия!$208:$208,условия!$8:$8,"&lt;="&amp;DE$9,условия!$9:$9,"&gt;="&amp;DE$9)/DAY(EOMONTH(DE$9,0)))*2*DE45-DD177))))</f>
        <v>13627.332111697913</v>
      </c>
      <c r="DF177" s="33">
        <f>IF(DF$9="",0,IF(OR(DF$9="",DAY(EOMONTH(DF$9,0))=0),0,IF((DF45-((SUMIFS(условия!$208:$208,условия!$8:$8,"&lt;="&amp;DF$9,условия!$9:$9,"&gt;="&amp;DF$9)/DAY(EOMONTH(DF$9,0)))*2*DF45-DE177))&lt;0,DE177+DF45,IF((SUMIFS(условия!$208:$208,условия!$8:$8,"&lt;="&amp;DF$9,условия!$9:$9,"&gt;="&amp;DF$9)/DAY(EOMONTH(DF$9,0)))*2*DF45-DE177&lt;0,0,(SUMIFS(условия!$208:$208,условия!$8:$8,"&lt;="&amp;DF$9,условия!$9:$9,"&gt;="&amp;DF$9)/DAY(EOMONTH(DF$9,0)))*2*DF45-DE177))))</f>
        <v>0</v>
      </c>
      <c r="DG177" s="33">
        <f>IF(DG$9="",0,IF(OR(DG$9="",DAY(EOMONTH(DG$9,0))=0),0,IF((DG45-((SUMIFS(условия!$208:$208,условия!$8:$8,"&lt;="&amp;DG$9,условия!$9:$9,"&gt;="&amp;DG$9)/DAY(EOMONTH(DG$9,0)))*2*DG45-DF177))&lt;0,DF177+DG45,IF((SUMIFS(условия!$208:$208,условия!$8:$8,"&lt;="&amp;DG$9,условия!$9:$9,"&gt;="&amp;DG$9)/DAY(EOMONTH(DG$9,0)))*2*DG45-DF177&lt;0,0,(SUMIFS(условия!$208:$208,условия!$8:$8,"&lt;="&amp;DG$9,условия!$9:$9,"&gt;="&amp;DG$9)/DAY(EOMONTH(DG$9,0)))*2*DG45-DF177))))</f>
        <v>15903.70956249946</v>
      </c>
      <c r="DH177" s="33">
        <f>IF(DH$9="",0,IF(OR(DH$9="",DAY(EOMONTH(DH$9,0))=0),0,IF((DH45-((SUMIFS(условия!$208:$208,условия!$8:$8,"&lt;="&amp;DH$9,условия!$9:$9,"&gt;="&amp;DH$9)/DAY(EOMONTH(DH$9,0)))*2*DH45-DG177))&lt;0,DG177+DH45,IF((SUMIFS(условия!$208:$208,условия!$8:$8,"&lt;="&amp;DH$9,условия!$9:$9,"&gt;="&amp;DH$9)/DAY(EOMONTH(DH$9,0)))*2*DH45-DG177&lt;0,0,(SUMIFS(условия!$208:$208,условия!$8:$8,"&lt;="&amp;DH$9,условия!$9:$9,"&gt;="&amp;DH$9)/DAY(EOMONTH(DH$9,0)))*2*DH45-DG177))))</f>
        <v>8868.5922801926263</v>
      </c>
      <c r="DI177" s="33">
        <f>IF(DI$9="",0,IF(OR(DI$9="",DAY(EOMONTH(DI$9,0))=0),0,IF((DI45-((SUMIFS(условия!$208:$208,условия!$8:$8,"&lt;="&amp;DI$9,условия!$9:$9,"&gt;="&amp;DI$9)/DAY(EOMONTH(DI$9,0)))*2*DI45-DH177))&lt;0,DH177+DI45,IF((SUMIFS(условия!$208:$208,условия!$8:$8,"&lt;="&amp;DI$9,условия!$9:$9,"&gt;="&amp;DI$9)/DAY(EOMONTH(DI$9,0)))*2*DI45-DH177&lt;0,0,(SUMIFS(условия!$208:$208,условия!$8:$8,"&lt;="&amp;DI$9,условия!$9:$9,"&gt;="&amp;DI$9)/DAY(EOMONTH(DI$9,0)))*2*DI45-DH177))))</f>
        <v>23409.350796359533</v>
      </c>
      <c r="DJ177" s="33">
        <f>IF(DJ$9="",0,IF(OR(DJ$9="",DAY(EOMONTH(DJ$9,0))=0),0,IF((DJ45-((SUMIFS(условия!$208:$208,условия!$8:$8,"&lt;="&amp;DJ$9,условия!$9:$9,"&gt;="&amp;DJ$9)/DAY(EOMONTH(DJ$9,0)))*2*DJ45-DI177))&lt;0,DI177+DJ45,IF((SUMIFS(условия!$208:$208,условия!$8:$8,"&lt;="&amp;DJ$9,условия!$9:$9,"&gt;="&amp;DJ$9)/DAY(EOMONTH(DJ$9,0)))*2*DJ45-DI177&lt;0,0,(SUMIFS(условия!$208:$208,условия!$8:$8,"&lt;="&amp;DJ$9,условия!$9:$9,"&gt;="&amp;DJ$9)/DAY(EOMONTH(DJ$9,0)))*2*DJ45-DI177))))</f>
        <v>18688.165746913401</v>
      </c>
      <c r="DK177" s="33">
        <f>IF(DK$9="",0,IF(OR(DK$9="",DAY(EOMONTH(DK$9,0))=0),0,IF((DK45-((SUMIFS(условия!$208:$208,условия!$8:$8,"&lt;="&amp;DK$9,условия!$9:$9,"&gt;="&amp;DK$9)/DAY(EOMONTH(DK$9,0)))*2*DK45-DJ177))&lt;0,DJ177+DK45,IF((SUMIFS(условия!$208:$208,условия!$8:$8,"&lt;="&amp;DK$9,условия!$9:$9,"&gt;="&amp;DK$9)/DAY(EOMONTH(DK$9,0)))*2*DK45-DJ177&lt;0,0,(SUMIFS(условия!$208:$208,условия!$8:$8,"&lt;="&amp;DK$9,условия!$9:$9,"&gt;="&amp;DK$9)/DAY(EOMONTH(DK$9,0)))*2*DK45-DJ177))))</f>
        <v>16993.23391254052</v>
      </c>
      <c r="DL177" s="33">
        <f>IF(DL$9="",0,IF(OR(DL$9="",DAY(EOMONTH(DL$9,0))=0),0,IF((DL45-((SUMIFS(условия!$208:$208,условия!$8:$8,"&lt;="&amp;DL$9,условия!$9:$9,"&gt;="&amp;DL$9)/DAY(EOMONTH(DL$9,0)))*2*DL45-DK177))&lt;0,DK177+DL45,IF((SUMIFS(условия!$208:$208,условия!$8:$8,"&lt;="&amp;DL$9,условия!$9:$9,"&gt;="&amp;DL$9)/DAY(EOMONTH(DL$9,0)))*2*DL45-DK177&lt;0,0,(SUMIFS(условия!$208:$208,условия!$8:$8,"&lt;="&amp;DL$9,условия!$9:$9,"&gt;="&amp;DL$9)/DAY(EOMONTH(DL$9,0)))*2*DL45-DK177))))</f>
        <v>721.99286343891072</v>
      </c>
      <c r="DM177" s="33">
        <f>IF(DM$9="",0,IF(OR(DM$9="",DAY(EOMONTH(DM$9,0))=0),0,IF((DM45-((SUMIFS(условия!$208:$208,условия!$8:$8,"&lt;="&amp;DM$9,условия!$9:$9,"&gt;="&amp;DM$9)/DAY(EOMONTH(DM$9,0)))*2*DM45-DL177))&lt;0,DL177+DM45,IF((SUMIFS(условия!$208:$208,условия!$8:$8,"&lt;="&amp;DM$9,условия!$9:$9,"&gt;="&amp;DM$9)/DAY(EOMONTH(DM$9,0)))*2*DM45-DL177&lt;0,0,(SUMIFS(условия!$208:$208,условия!$8:$8,"&lt;="&amp;DM$9,условия!$9:$9,"&gt;="&amp;DM$9)/DAY(EOMONTH(DM$9,0)))*2*DM45-DL177))))</f>
        <v>22205.757063341243</v>
      </c>
      <c r="DN177" s="33">
        <f>IF(DN$9="",0,IF(OR(DN$9="",DAY(EOMONTH(DN$9,0))=0),0,IF((DN45-((SUMIFS(условия!$208:$208,условия!$8:$8,"&lt;="&amp;DN$9,условия!$9:$9,"&gt;="&amp;DN$9)/DAY(EOMONTH(DN$9,0)))*2*DN45-DM177))&lt;0,DM177+DN45,IF((SUMIFS(условия!$208:$208,условия!$8:$8,"&lt;="&amp;DN$9,условия!$9:$9,"&gt;="&amp;DN$9)/DAY(EOMONTH(DN$9,0)))*2*DN45-DM177&lt;0,0,(SUMIFS(условия!$208:$208,условия!$8:$8,"&lt;="&amp;DN$9,условия!$9:$9,"&gt;="&amp;DN$9)/DAY(EOMONTH(DN$9,0)))*2*DN45-DM177))))</f>
        <v>1555.7024900973011</v>
      </c>
      <c r="DO177" s="33">
        <f>IF(DO$9="",0,IF(OR(DO$9="",DAY(EOMONTH(DO$9,0))=0),0,IF((DO45-((SUMIFS(условия!$208:$208,условия!$8:$8,"&lt;="&amp;DO$9,условия!$9:$9,"&gt;="&amp;DO$9)/DAY(EOMONTH(DO$9,0)))*2*DO45-DN177))&lt;0,DN177+DO45,IF((SUMIFS(условия!$208:$208,условия!$8:$8,"&lt;="&amp;DO$9,условия!$9:$9,"&gt;="&amp;DO$9)/DAY(EOMONTH(DO$9,0)))*2*DO45-DN177&lt;0,0,(SUMIFS(условия!$208:$208,условия!$8:$8,"&lt;="&amp;DO$9,условия!$9:$9,"&gt;="&amp;DO$9)/DAY(EOMONTH(DO$9,0)))*2*DO45-DN177))))</f>
        <v>22968.633230126234</v>
      </c>
      <c r="DP177" s="33">
        <f>IF(DP$9="",0,IF(OR(DP$9="",DAY(EOMONTH(DP$9,0))=0),0,IF((DP45-((SUMIFS(условия!$208:$208,условия!$8:$8,"&lt;="&amp;DP$9,условия!$9:$9,"&gt;="&amp;DP$9)/DAY(EOMONTH(DP$9,0)))*2*DP45-DO177))&lt;0,DO177+DP45,IF((SUMIFS(условия!$208:$208,условия!$8:$8,"&lt;="&amp;DP$9,условия!$9:$9,"&gt;="&amp;DP$9)/DAY(EOMONTH(DP$9,0)))*2*DP45-DO177&lt;0,0,(SUMIFS(условия!$208:$208,условия!$8:$8,"&lt;="&amp;DP$9,условия!$9:$9,"&gt;="&amp;DP$9)/DAY(EOMONTH(DP$9,0)))*2*DP45-DO177))))</f>
        <v>0</v>
      </c>
      <c r="DQ177" s="33">
        <f>IF(DQ$9="",0,IF(OR(DQ$9="",DAY(EOMONTH(DQ$9,0))=0),0,IF((DQ45-((SUMIFS(условия!$208:$208,условия!$8:$8,"&lt;="&amp;DQ$9,условия!$9:$9,"&gt;="&amp;DQ$9)/DAY(EOMONTH(DQ$9,0)))*2*DQ45-DP177))&lt;0,DP177+DQ45,IF((SUMIFS(условия!$208:$208,условия!$8:$8,"&lt;="&amp;DQ$9,условия!$9:$9,"&gt;="&amp;DQ$9)/DAY(EOMONTH(DQ$9,0)))*2*DQ45-DP177&lt;0,0,(SUMIFS(условия!$208:$208,условия!$8:$8,"&lt;="&amp;DQ$9,условия!$9:$9,"&gt;="&amp;DQ$9)/DAY(EOMONTH(DQ$9,0)))*2*DQ45-DP177))))</f>
        <v>15303.399420976122</v>
      </c>
      <c r="DR177" s="33">
        <f>IF(DR$9="",0,IF(OR(DR$9="",DAY(EOMONTH(DR$9,0))=0),0,IF((DR45-((SUMIFS(условия!$208:$208,условия!$8:$8,"&lt;="&amp;DR$9,условия!$9:$9,"&gt;="&amp;DR$9)/DAY(EOMONTH(DR$9,0)))*2*DR45-DQ177))&lt;0,DQ177+DR45,IF((SUMIFS(условия!$208:$208,условия!$8:$8,"&lt;="&amp;DR$9,условия!$9:$9,"&gt;="&amp;DR$9)/DAY(EOMONTH(DR$9,0)))*2*DR45-DQ177&lt;0,0,(SUMIFS(условия!$208:$208,условия!$8:$8,"&lt;="&amp;DR$9,условия!$9:$9,"&gt;="&amp;DR$9)/DAY(EOMONTH(DR$9,0)))*2*DR45-DQ177))))</f>
        <v>0</v>
      </c>
      <c r="DS177" s="33">
        <f>IF(DS$9="",0,IF(OR(DS$9="",DAY(EOMONTH(DS$9,0))=0),0,IF((DS45-((SUMIFS(условия!$208:$208,условия!$8:$8,"&lt;="&amp;DS$9,условия!$9:$9,"&gt;="&amp;DS$9)/DAY(EOMONTH(DS$9,0)))*2*DS45-DR177))&lt;0,DR177+DS45,IF((SUMIFS(условия!$208:$208,условия!$8:$8,"&lt;="&amp;DS$9,условия!$9:$9,"&gt;="&amp;DS$9)/DAY(EOMONTH(DS$9,0)))*2*DS45-DR177&lt;0,0,(SUMIFS(условия!$208:$208,условия!$8:$8,"&lt;="&amp;DS$9,условия!$9:$9,"&gt;="&amp;DS$9)/DAY(EOMONTH(DS$9,0)))*2*DS45-DR177))))</f>
        <v>17842.268242898805</v>
      </c>
      <c r="DT177" s="33">
        <f>IF(DT$9="",0,IF(OR(DT$9="",DAY(EOMONTH(DT$9,0))=0),0,IF((DT45-((SUMIFS(условия!$208:$208,условия!$8:$8,"&lt;="&amp;DT$9,условия!$9:$9,"&gt;="&amp;DT$9)/DAY(EOMONTH(DT$9,0)))*2*DT45-DS177))&lt;0,DS177+DT45,IF((SUMIFS(условия!$208:$208,условия!$8:$8,"&lt;="&amp;DT$9,условия!$9:$9,"&gt;="&amp;DT$9)/DAY(EOMONTH(DT$9,0)))*2*DT45-DS177&lt;0,0,(SUMIFS(условия!$208:$208,условия!$8:$8,"&lt;="&amp;DT$9,условия!$9:$9,"&gt;="&amp;DT$9)/DAY(EOMONTH(DT$9,0)))*2*DT45-DS177))))</f>
        <v>9922.644352330477</v>
      </c>
      <c r="DU177" s="33">
        <f>IF(DU$9="",0,IF(OR(DU$9="",DAY(EOMONTH(DU$9,0))=0),0,IF((DU45-((SUMIFS(условия!$208:$208,условия!$8:$8,"&lt;="&amp;DU$9,условия!$9:$9,"&gt;="&amp;DU$9)/DAY(EOMONTH(DU$9,0)))*2*DU45-DT177))&lt;0,DT177+DU45,IF((SUMIFS(условия!$208:$208,условия!$8:$8,"&lt;="&amp;DU$9,условия!$9:$9,"&gt;="&amp;DU$9)/DAY(EOMONTH(DU$9,0)))*2*DU45-DT177&lt;0,0,(SUMIFS(условия!$208:$208,условия!$8:$8,"&lt;="&amp;DU$9,условия!$9:$9,"&gt;="&amp;DU$9)/DAY(EOMONTH(DU$9,0)))*2*DU45-DT177))))</f>
        <v>26185.363689865051</v>
      </c>
      <c r="DV177" s="33">
        <f>IF(DV$9="",0,IF(OR(DV$9="",DAY(EOMONTH(DV$9,0))=0),0,IF((DV45-((SUMIFS(условия!$208:$208,условия!$8:$8,"&lt;="&amp;DV$9,условия!$9:$9,"&gt;="&amp;DV$9)/DAY(EOMONTH(DV$9,0)))*2*DV45-DU177))&lt;0,DU177+DV45,IF((SUMIFS(условия!$208:$208,условия!$8:$8,"&lt;="&amp;DV$9,условия!$9:$9,"&gt;="&amp;DV$9)/DAY(EOMONTH(DV$9,0)))*2*DV45-DU177&lt;0,0,(SUMIFS(условия!$208:$208,условия!$8:$8,"&lt;="&amp;DV$9,условия!$9:$9,"&gt;="&amp;DV$9)/DAY(EOMONTH(DV$9,0)))*2*DV45-DU177))))</f>
        <v>20818.802760424594</v>
      </c>
      <c r="DW177" s="33">
        <f>IF(DW$9="",0,IF(OR(DW$9="",DAY(EOMONTH(DW$9,0))=0),0,IF((DW45-((SUMIFS(условия!$208:$208,условия!$8:$8,"&lt;="&amp;DW$9,условия!$9:$9,"&gt;="&amp;DW$9)/DAY(EOMONTH(DW$9,0)))*2*DW45-DV177))&lt;0,DV177+DW45,IF((SUMIFS(условия!$208:$208,условия!$8:$8,"&lt;="&amp;DW$9,условия!$9:$9,"&gt;="&amp;DW$9)/DAY(EOMONTH(DW$9,0)))*2*DW45-DV177&lt;0,0,(SUMIFS(условия!$208:$208,условия!$8:$8,"&lt;="&amp;DW$9,условия!$9:$9,"&gt;="&amp;DW$9)/DAY(EOMONTH(DW$9,0)))*2*DW45-DV177))))</f>
        <v>18940.471145824056</v>
      </c>
      <c r="DX177" s="33">
        <f>IF(DX$9="",0,IF(OR(DX$9="",DAY(EOMONTH(DX$9,0))=0),0,IF((DX45-((SUMIFS(условия!$208:$208,условия!$8:$8,"&lt;="&amp;DX$9,условия!$9:$9,"&gt;="&amp;DX$9)/DAY(EOMONTH(DX$9,0)))*2*DX45-DW177))&lt;0,DW177+DX45,IF((SUMIFS(условия!$208:$208,условия!$8:$8,"&lt;="&amp;DX$9,условия!$9:$9,"&gt;="&amp;DX$9)/DAY(EOMONTH(DX$9,0)))*2*DX45-DW177&lt;0,0,(SUMIFS(условия!$208:$208,условия!$8:$8,"&lt;="&amp;DX$9,условия!$9:$9,"&gt;="&amp;DX$9)/DAY(EOMONTH(DX$9,0)))*2*DX45-DW177))))</f>
        <v>0</v>
      </c>
      <c r="DY177" s="33">
        <f>IF(DY$9="",0,IF(OR(DY$9="",DAY(EOMONTH(DY$9,0))=0),0,IF((DY45-((SUMIFS(условия!$208:$208,условия!$8:$8,"&lt;="&amp;DY$9,условия!$9:$9,"&gt;="&amp;DY$9)/DAY(EOMONTH(DY$9,0)))*2*DY45-DX177))&lt;0,DX177+DY45,IF((SUMIFS(условия!$208:$208,условия!$8:$8,"&lt;="&amp;DY$9,условия!$9:$9,"&gt;="&amp;DY$9)/DAY(EOMONTH(DY$9,0)))*2*DY45-DX177&lt;0,0,(SUMIFS(условия!$208:$208,условия!$8:$8,"&lt;="&amp;DY$9,условия!$9:$9,"&gt;="&amp;DY$9)/DAY(EOMONTH(DY$9,0)))*2*DY45-DX177))))</f>
        <v>23809.305957762121</v>
      </c>
      <c r="DZ177" s="33">
        <f>IF(DZ$9="",0,IF(OR(DZ$9="",DAY(EOMONTH(DZ$9,0))=0),0,IF((DZ45-((SUMIFS(условия!$208:$208,условия!$8:$8,"&lt;="&amp;DZ$9,условия!$9:$9,"&gt;="&amp;DZ$9)/DAY(EOMONTH(DZ$9,0)))*2*DZ45-DY177))&lt;0,DY177+DZ45,IF((SUMIFS(условия!$208:$208,условия!$8:$8,"&lt;="&amp;DZ$9,условия!$9:$9,"&gt;="&amp;DZ$9)/DAY(EOMONTH(DZ$9,0)))*2*DZ45-DY177&lt;0,0,(SUMIFS(условия!$208:$208,условия!$8:$8,"&lt;="&amp;DZ$9,условия!$9:$9,"&gt;="&amp;DZ$9)/DAY(EOMONTH(DZ$9,0)))*2*DZ45-DY177))))</f>
        <v>841.44386411205051</v>
      </c>
      <c r="EA177" s="33">
        <f>IF(EA$9="",0,IF(OR(EA$9="",DAY(EOMONTH(EA$9,0))=0),0,IF((EA45-((SUMIFS(условия!$208:$208,условия!$8:$8,"&lt;="&amp;EA$9,условия!$9:$9,"&gt;="&amp;EA$9)/DAY(EOMONTH(EA$9,0)))*2*EA45-DZ177))&lt;0,DZ177+EA45,IF((SUMIFS(условия!$208:$208,условия!$8:$8,"&lt;="&amp;EA$9,условия!$9:$9,"&gt;="&amp;EA$9)/DAY(EOMONTH(EA$9,0)))*2*EA45-DZ177&lt;0,0,(SUMIFS(условия!$208:$208,условия!$8:$8,"&lt;="&amp;EA$9,условия!$9:$9,"&gt;="&amp;EA$9)/DAY(EOMONTH(EA$9,0)))*2*EA45-DZ177))))</f>
        <v>24608.243080194141</v>
      </c>
      <c r="EB177" s="33">
        <f>IF(EB$9="",0,IF(OR(EB$9="",DAY(EOMONTH(EB$9,0))=0),0,IF((EB45-((SUMIFS(условия!$208:$208,условия!$8:$8,"&lt;="&amp;EB$9,условия!$9:$9,"&gt;="&amp;EB$9)/DAY(EOMONTH(EB$9,0)))*2*EB45-EA177))&lt;0,EA177+EB45,IF((SUMIFS(условия!$208:$208,условия!$8:$8,"&lt;="&amp;EB$9,условия!$9:$9,"&gt;="&amp;EB$9)/DAY(EOMONTH(EB$9,0)))*2*EB45-EA177&lt;0,0,(SUMIFS(условия!$208:$208,условия!$8:$8,"&lt;="&amp;EB$9,условия!$9:$9,"&gt;="&amp;EB$9)/DAY(EOMONTH(EB$9,0)))*2*EB45-EA177))))</f>
        <v>0</v>
      </c>
      <c r="EC177" s="33">
        <f>IF(EC$9="",0,IF(OR(EC$9="",DAY(EOMONTH(EC$9,0))=0),0,IF((EC45-((SUMIFS(условия!$208:$208,условия!$8:$8,"&lt;="&amp;EC$9,условия!$9:$9,"&gt;="&amp;EC$9)/DAY(EOMONTH(EC$9,0)))*2*EC45-EB177))&lt;0,EB177+EC45,IF((SUMIFS(условия!$208:$208,условия!$8:$8,"&lt;="&amp;EC$9,условия!$9:$9,"&gt;="&amp;EC$9)/DAY(EOMONTH(EC$9,0)))*2*EC45-EB177&lt;0,0,(SUMIFS(условия!$208:$208,условия!$8:$8,"&lt;="&amp;EC$9,условия!$9:$9,"&gt;="&amp;EC$9)/DAY(EOMONTH(EC$9,0)))*2*EC45-EB177))))</f>
        <v>15887.092224943779</v>
      </c>
      <c r="ED177" s="33">
        <f>IF(ED$9="",0,IF(OR(ED$9="",DAY(EOMONTH(ED$9,0))=0),0,IF((ED45-((SUMIFS(условия!$208:$208,условия!$8:$8,"&lt;="&amp;ED$9,условия!$9:$9,"&gt;="&amp;ED$9)/DAY(EOMONTH(ED$9,0)))*2*ED45-EC177))&lt;0,EC177+ED45,IF((SUMIFS(условия!$208:$208,условия!$8:$8,"&lt;="&amp;ED$9,условия!$9:$9,"&gt;="&amp;ED$9)/DAY(EOMONTH(ED$9,0)))*2*ED45-EC177&lt;0,0,(SUMIFS(условия!$208:$208,условия!$8:$8,"&lt;="&amp;ED$9,условия!$9:$9,"&gt;="&amp;ED$9)/DAY(EOMONTH(ED$9,0)))*2*ED45-EC177))))</f>
        <v>0</v>
      </c>
      <c r="EE177" s="33">
        <f>IF(EE$9="",0,IF(OR(EE$9="",DAY(EOMONTH(EE$9,0))=0),0,IF((EE45-((SUMIFS(условия!$208:$208,условия!$8:$8,"&lt;="&amp;EE$9,условия!$9:$9,"&gt;="&amp;EE$9)/DAY(EOMONTH(EE$9,0)))*2*EE45-ED177))&lt;0,ED177+EE45,IF((SUMIFS(условия!$208:$208,условия!$8:$8,"&lt;="&amp;EE$9,условия!$9:$9,"&gt;="&amp;EE$9)/DAY(EOMONTH(EE$9,0)))*2*EE45-ED177&lt;0,0,(SUMIFS(условия!$208:$208,условия!$8:$8,"&lt;="&amp;EE$9,условия!$9:$9,"&gt;="&amp;EE$9)/DAY(EOMONTH(EE$9,0)))*2*EE45-ED177))))</f>
        <v>18504.577757105144</v>
      </c>
      <c r="EF177" s="33">
        <f>IF(EF$9="",0,IF(OR(EF$9="",DAY(EOMONTH(EF$9,0))=0),0,IF((EF45-((SUMIFS(условия!$208:$208,условия!$8:$8,"&lt;="&amp;EF$9,условия!$9:$9,"&gt;="&amp;EF$9)/DAY(EOMONTH(EF$9,0)))*2*EF45-EE177))&lt;0,EE177+EF45,IF((SUMIFS(условия!$208:$208,условия!$8:$8,"&lt;="&amp;EF$9,условия!$9:$9,"&gt;="&amp;EF$9)/DAY(EOMONTH(EF$9,0)))*2*EF45-EE177&lt;0,0,(SUMIFS(условия!$208:$208,условия!$8:$8,"&lt;="&amp;EF$9,условия!$9:$9,"&gt;="&amp;EF$9)/DAY(EOMONTH(EF$9,0)))*2*EF45-EE177))))</f>
        <v>10262.847285022013</v>
      </c>
      <c r="EG177" s="33">
        <f>IF(EG$9="",0,IF(OR(EG$9="",DAY(EOMONTH(EG$9,0))=0),0,IF((EG45-((SUMIFS(условия!$208:$208,условия!$8:$8,"&lt;="&amp;EG$9,условия!$9:$9,"&gt;="&amp;EG$9)/DAY(EOMONTH(EG$9,0)))*2*EG45-EF177))&lt;0,EF177+EG45,IF((SUMIFS(условия!$208:$208,условия!$8:$8,"&lt;="&amp;EG$9,условия!$9:$9,"&gt;="&amp;EG$9)/DAY(EOMONTH(EG$9,0)))*2*EG45-EF177&lt;0,0,(SUMIFS(условия!$208:$208,условия!$8:$8,"&lt;="&amp;EG$9,условия!$9:$9,"&gt;="&amp;EG$9)/DAY(EOMONTH(EG$9,0)))*2*EG45-EF177))))</f>
        <v>27076.616043178656</v>
      </c>
      <c r="EH177" s="33">
        <f>IF(EH$9="",0,IF(OR(EH$9="",DAY(EOMONTH(EH$9,0))=0),0,IF((EH45-((SUMIFS(условия!$208:$208,условия!$8:$8,"&lt;="&amp;EH$9,условия!$9:$9,"&gt;="&amp;EH$9)/DAY(EOMONTH(EH$9,0)))*2*EH45-EG177))&lt;0,EG177+EH45,IF((SUMIFS(условия!$208:$208,условия!$8:$8,"&lt;="&amp;EH$9,условия!$9:$9,"&gt;="&amp;EH$9)/DAY(EOMONTH(EH$9,0)))*2*EH45-EG177&lt;0,0,(SUMIFS(условия!$208:$208,условия!$8:$8,"&lt;="&amp;EH$9,условия!$9:$9,"&gt;="&amp;EH$9)/DAY(EOMONTH(EH$9,0)))*2*EH45-EG177))))</f>
        <v>21437.955817794471</v>
      </c>
      <c r="EI177" s="33">
        <f>IF(EI$9="",0,IF(OR(EI$9="",DAY(EOMONTH(EI$9,0))=0),0,IF((EI45-((SUMIFS(условия!$208:$208,условия!$8:$8,"&lt;="&amp;EI$9,условия!$9:$9,"&gt;="&amp;EI$9)/DAY(EOMONTH(EI$9,0)))*2*EI45-EH177))&lt;0,EH177+EI45,IF((SUMIFS(условия!$208:$208,условия!$8:$8,"&lt;="&amp;EI$9,условия!$9:$9,"&gt;="&amp;EI$9)/DAY(EOMONTH(EI$9,0)))*2*EI45-EH177&lt;0,0,(SUMIFS(условия!$208:$208,условия!$8:$8,"&lt;="&amp;EI$9,условия!$9:$9,"&gt;="&amp;EI$9)/DAY(EOMONTH(EI$9,0)))*2*EI45-EH177))))</f>
        <v>19514.096305641644</v>
      </c>
      <c r="EJ177" s="3"/>
      <c r="EK177" s="3"/>
    </row>
    <row r="178" spans="1:14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</row>
    <row r="179" spans="1:141" x14ac:dyDescent="0.25">
      <c r="A179" s="3"/>
      <c r="B179" s="3"/>
      <c r="C179" s="3"/>
      <c r="D179" s="3"/>
      <c r="E179" s="3"/>
      <c r="F179" s="10" t="str">
        <f>KPI!$F$180</f>
        <v>Поступление выручки от клиентов</v>
      </c>
      <c r="G179" s="3"/>
      <c r="H179" s="3"/>
      <c r="I179" s="3"/>
      <c r="J179" s="5" t="str">
        <f>IF($F179="","",INDEX(KPI!$I$11:$I$275,SUMIFS(KPI!$E$11:$E$275,KPI!$F$11:$F$275,$F179)))</f>
        <v>тыс.руб.</v>
      </c>
      <c r="K179" s="3"/>
      <c r="L179" s="3"/>
      <c r="M179" s="3"/>
      <c r="N179" s="3"/>
      <c r="O179" s="3"/>
      <c r="P179" s="3"/>
      <c r="Q179" s="12">
        <f>SUM(S179:EJ179)</f>
        <v>11557081.515787536</v>
      </c>
      <c r="R179" s="3"/>
      <c r="S179" s="55"/>
      <c r="T179" s="33">
        <f>S177+T45-T177</f>
        <v>0</v>
      </c>
      <c r="U179" s="33">
        <f t="shared" ref="U179:CF179" si="75">T177+U45-U177</f>
        <v>0</v>
      </c>
      <c r="V179" s="33">
        <f t="shared" si="75"/>
        <v>0</v>
      </c>
      <c r="W179" s="33">
        <f t="shared" si="75"/>
        <v>0</v>
      </c>
      <c r="X179" s="33">
        <f t="shared" si="75"/>
        <v>923.08645161290315</v>
      </c>
      <c r="Y179" s="33">
        <f t="shared" si="75"/>
        <v>1017.8835483870969</v>
      </c>
      <c r="Z179" s="33">
        <f t="shared" si="75"/>
        <v>771.94306451612897</v>
      </c>
      <c r="AA179" s="33">
        <f t="shared" si="75"/>
        <v>1160.4642580645161</v>
      </c>
      <c r="AB179" s="33">
        <f t="shared" si="75"/>
        <v>1454.2021548387097</v>
      </c>
      <c r="AC179" s="33">
        <f t="shared" si="75"/>
        <v>2313.9163354838711</v>
      </c>
      <c r="AD179" s="33">
        <f t="shared" si="75"/>
        <v>2638.2403741935486</v>
      </c>
      <c r="AE179" s="33">
        <f t="shared" si="75"/>
        <v>2756.2642064516126</v>
      </c>
      <c r="AF179" s="33">
        <f t="shared" si="75"/>
        <v>3853.6367876129034</v>
      </c>
      <c r="AG179" s="33">
        <f t="shared" si="75"/>
        <v>5397.9349656774193</v>
      </c>
      <c r="AH179" s="33">
        <f t="shared" si="75"/>
        <v>5535.9500283870957</v>
      </c>
      <c r="AI179" s="33">
        <f t="shared" si="75"/>
        <v>6182.1267721083868</v>
      </c>
      <c r="AJ179" s="33">
        <f t="shared" si="75"/>
        <v>4278.2266568670975</v>
      </c>
      <c r="AK179" s="33">
        <f t="shared" si="75"/>
        <v>3831.6423115974194</v>
      </c>
      <c r="AL179" s="33">
        <f t="shared" si="75"/>
        <v>3493.4755834219354</v>
      </c>
      <c r="AM179" s="33">
        <f t="shared" si="75"/>
        <v>4501.2463844748381</v>
      </c>
      <c r="AN179" s="33">
        <f t="shared" si="75"/>
        <v>6316.1060265290316</v>
      </c>
      <c r="AO179" s="33">
        <f t="shared" si="75"/>
        <v>9273.2882591380639</v>
      </c>
      <c r="AP179" s="33">
        <f t="shared" si="75"/>
        <v>11214.688355674838</v>
      </c>
      <c r="AQ179" s="33">
        <f t="shared" si="75"/>
        <v>11103.362177899351</v>
      </c>
      <c r="AR179" s="33">
        <f t="shared" si="75"/>
        <v>11751.304062100644</v>
      </c>
      <c r="AS179" s="33">
        <f t="shared" si="75"/>
        <v>15501.353321125163</v>
      </c>
      <c r="AT179" s="33">
        <f t="shared" si="75"/>
        <v>16661.527422100644</v>
      </c>
      <c r="AU179" s="33">
        <f t="shared" si="75"/>
        <v>17781.542401073548</v>
      </c>
      <c r="AV179" s="33">
        <f t="shared" si="75"/>
        <v>12978.91202039742</v>
      </c>
      <c r="AW179" s="33">
        <f t="shared" si="75"/>
        <v>10878.895471731612</v>
      </c>
      <c r="AX179" s="33">
        <f t="shared" si="75"/>
        <v>10666.377872268386</v>
      </c>
      <c r="AY179" s="33">
        <f t="shared" si="75"/>
        <v>12824.992673279996</v>
      </c>
      <c r="AZ179" s="33">
        <f t="shared" si="75"/>
        <v>18912.901881971608</v>
      </c>
      <c r="BA179" s="33">
        <f t="shared" si="75"/>
        <v>26702.454510905802</v>
      </c>
      <c r="BB179" s="33">
        <f t="shared" si="75"/>
        <v>33038.301787416778</v>
      </c>
      <c r="BC179" s="33">
        <f t="shared" si="75"/>
        <v>31828.99146264774</v>
      </c>
      <c r="BD179" s="33">
        <f t="shared" si="75"/>
        <v>25518.630024836137</v>
      </c>
      <c r="BE179" s="33">
        <f t="shared" si="75"/>
        <v>31781.448741615495</v>
      </c>
      <c r="BF179" s="33">
        <f t="shared" si="75"/>
        <v>35505.429000836142</v>
      </c>
      <c r="BG179" s="33">
        <f t="shared" si="75"/>
        <v>36717.383034632265</v>
      </c>
      <c r="BH179" s="33">
        <f t="shared" si="75"/>
        <v>27783.444830389686</v>
      </c>
      <c r="BI179" s="33">
        <f t="shared" si="75"/>
        <v>22243.395254668387</v>
      </c>
      <c r="BJ179" s="33">
        <f t="shared" si="75"/>
        <v>22934.349788531621</v>
      </c>
      <c r="BK179" s="33">
        <f t="shared" si="75"/>
        <v>26324.117824165165</v>
      </c>
      <c r="BL179" s="33">
        <f t="shared" si="75"/>
        <v>40226.279821378077</v>
      </c>
      <c r="BM179" s="33">
        <f t="shared" si="75"/>
        <v>55423.420614936782</v>
      </c>
      <c r="BN179" s="33">
        <f t="shared" si="75"/>
        <v>69845.477748108402</v>
      </c>
      <c r="BO179" s="33">
        <f t="shared" si="75"/>
        <v>66173.127785620658</v>
      </c>
      <c r="BP179" s="33">
        <f t="shared" si="75"/>
        <v>52084.761563581946</v>
      </c>
      <c r="BQ179" s="33">
        <f t="shared" si="75"/>
        <v>62859.160805326464</v>
      </c>
      <c r="BR179" s="33">
        <f t="shared" si="75"/>
        <v>72794.680775101937</v>
      </c>
      <c r="BS179" s="33">
        <f t="shared" si="75"/>
        <v>72476.346861954473</v>
      </c>
      <c r="BT179" s="33">
        <f t="shared" si="75"/>
        <v>57262.461186546803</v>
      </c>
      <c r="BU179" s="33">
        <f t="shared" si="75"/>
        <v>43362.954298827135</v>
      </c>
      <c r="BV179" s="33">
        <f t="shared" si="75"/>
        <v>47508.852873780859</v>
      </c>
      <c r="BW179" s="33">
        <f t="shared" si="75"/>
        <v>51571.03626718637</v>
      </c>
      <c r="BX179" s="33">
        <f t="shared" si="75"/>
        <v>82290.334996992009</v>
      </c>
      <c r="BY179" s="33">
        <f t="shared" si="75"/>
        <v>110102.20530919556</v>
      </c>
      <c r="BZ179" s="33">
        <f t="shared" si="75"/>
        <v>141867.23596961531</v>
      </c>
      <c r="CA179" s="33">
        <f t="shared" si="75"/>
        <v>131724.4734467997</v>
      </c>
      <c r="CB179" s="33">
        <f t="shared" si="75"/>
        <v>79060.340033334534</v>
      </c>
      <c r="CC179" s="33">
        <f t="shared" si="75"/>
        <v>85709.711739940336</v>
      </c>
      <c r="CD179" s="33">
        <f t="shared" si="75"/>
        <v>108471.67396625842</v>
      </c>
      <c r="CE179" s="33">
        <f t="shared" si="75"/>
        <v>99314.538483728495</v>
      </c>
      <c r="CF179" s="33">
        <f t="shared" si="75"/>
        <v>86342.010152269664</v>
      </c>
      <c r="CG179" s="33">
        <f t="shared" ref="CG179:EI179" si="76">CF177+CG45-CG177</f>
        <v>57710.130625466605</v>
      </c>
      <c r="CH179" s="33">
        <f t="shared" si="76"/>
        <v>72355.118435496508</v>
      </c>
      <c r="CI179" s="33">
        <f t="shared" si="76"/>
        <v>69316.010658350235</v>
      </c>
      <c r="CJ179" s="33">
        <f t="shared" si="76"/>
        <v>121799.45031725918</v>
      </c>
      <c r="CK179" s="33">
        <f t="shared" si="76"/>
        <v>152127.62119562071</v>
      </c>
      <c r="CL179" s="33">
        <f t="shared" si="76"/>
        <v>205351.76633042414</v>
      </c>
      <c r="CM179" s="33">
        <f t="shared" si="76"/>
        <v>181516.54147049866</v>
      </c>
      <c r="CN179" s="33">
        <f t="shared" si="76"/>
        <v>110619.10082092931</v>
      </c>
      <c r="CO179" s="33">
        <f t="shared" si="76"/>
        <v>108934.74065249276</v>
      </c>
      <c r="CP179" s="33">
        <f t="shared" si="76"/>
        <v>149624.7668561739</v>
      </c>
      <c r="CQ179" s="33">
        <f t="shared" si="76"/>
        <v>126941.7948849044</v>
      </c>
      <c r="CR179" s="33">
        <f t="shared" si="76"/>
        <v>118638.11294691662</v>
      </c>
      <c r="CS179" s="33">
        <f t="shared" si="76"/>
        <v>74770.396805744618</v>
      </c>
      <c r="CT179" s="33">
        <f t="shared" si="76"/>
        <v>98074.87279704574</v>
      </c>
      <c r="CU179" s="33">
        <f t="shared" si="76"/>
        <v>90793.093227332371</v>
      </c>
      <c r="CV179" s="33">
        <f t="shared" si="76"/>
        <v>163349.13982157252</v>
      </c>
      <c r="CW179" s="33">
        <f t="shared" si="76"/>
        <v>200408.37579442444</v>
      </c>
      <c r="CX179" s="33">
        <f t="shared" si="76"/>
        <v>273444.31284504785</v>
      </c>
      <c r="CY179" s="33">
        <f t="shared" si="76"/>
        <v>238494.65122059442</v>
      </c>
      <c r="CZ179" s="33">
        <f t="shared" si="76"/>
        <v>135513.07477028616</v>
      </c>
      <c r="DA179" s="33">
        <f t="shared" si="76"/>
        <v>125576.73364634029</v>
      </c>
      <c r="DB179" s="33">
        <f t="shared" si="76"/>
        <v>179925.983793166</v>
      </c>
      <c r="DC179" s="33">
        <f t="shared" si="76"/>
        <v>147347.99631847025</v>
      </c>
      <c r="DD179" s="33">
        <f t="shared" si="76"/>
        <v>141943.0798356458</v>
      </c>
      <c r="DE179" s="33">
        <f t="shared" si="76"/>
        <v>88577.658726036432</v>
      </c>
      <c r="DF179" s="33">
        <f t="shared" si="76"/>
        <v>116085.55632613628</v>
      </c>
      <c r="DG179" s="33">
        <f t="shared" si="76"/>
        <v>107350.03954687137</v>
      </c>
      <c r="DH179" s="33">
        <f t="shared" si="76"/>
        <v>192827.38110249749</v>
      </c>
      <c r="DI179" s="33">
        <f t="shared" si="76"/>
        <v>235613.30032711232</v>
      </c>
      <c r="DJ179" s="33">
        <f t="shared" si="76"/>
        <v>320452.55912399315</v>
      </c>
      <c r="DK179" s="33">
        <f t="shared" si="76"/>
        <v>278225.77919514076</v>
      </c>
      <c r="DL179" s="33">
        <f t="shared" si="76"/>
        <v>153564.2485629422</v>
      </c>
      <c r="DM179" s="33">
        <f t="shared" si="76"/>
        <v>139010.48528755875</v>
      </c>
      <c r="DN179" s="33">
        <f t="shared" si="76"/>
        <v>204801.36611239269</v>
      </c>
      <c r="DO179" s="33">
        <f t="shared" si="76"/>
        <v>162519.58716164756</v>
      </c>
      <c r="DP179" s="33">
        <f t="shared" si="76"/>
        <v>160808.62483764745</v>
      </c>
      <c r="DQ179" s="33">
        <f t="shared" si="76"/>
        <v>99472.096236344805</v>
      </c>
      <c r="DR179" s="33">
        <f t="shared" si="76"/>
        <v>130306.80511733066</v>
      </c>
      <c r="DS179" s="33">
        <f t="shared" si="76"/>
        <v>120435.31063956695</v>
      </c>
      <c r="DT179" s="33">
        <f t="shared" si="76"/>
        <v>216156.46835478794</v>
      </c>
      <c r="DU179" s="33">
        <f t="shared" si="76"/>
        <v>263574.34298948076</v>
      </c>
      <c r="DV179" s="33">
        <f t="shared" si="76"/>
        <v>357897.80930661276</v>
      </c>
      <c r="DW179" s="33">
        <f t="shared" si="76"/>
        <v>310012.7043880276</v>
      </c>
      <c r="DX179" s="33">
        <f t="shared" si="76"/>
        <v>161582.9830958613</v>
      </c>
      <c r="DY179" s="33">
        <f t="shared" si="76"/>
        <v>142855.83574657273</v>
      </c>
      <c r="DZ179" s="33">
        <f t="shared" si="76"/>
        <v>214011.17321317489</v>
      </c>
      <c r="EA179" s="33">
        <f t="shared" si="76"/>
        <v>167105.85286621435</v>
      </c>
      <c r="EB179" s="33">
        <f t="shared" si="76"/>
        <v>167677.4026233023</v>
      </c>
      <c r="EC179" s="33">
        <f t="shared" si="76"/>
        <v>103266.09946213456</v>
      </c>
      <c r="ED179" s="33">
        <f t="shared" si="76"/>
        <v>135218.0537424683</v>
      </c>
      <c r="EE179" s="33">
        <f t="shared" si="76"/>
        <v>124905.89986045973</v>
      </c>
      <c r="EF179" s="33">
        <f t="shared" si="76"/>
        <v>223997.41828803683</v>
      </c>
      <c r="EG179" s="33">
        <f t="shared" si="76"/>
        <v>272567.07203539857</v>
      </c>
      <c r="EH179" s="33">
        <f t="shared" si="76"/>
        <v>369497.94918268261</v>
      </c>
      <c r="EI179" s="33">
        <f t="shared" si="76"/>
        <v>319302.26346878277</v>
      </c>
      <c r="EJ179" s="3"/>
      <c r="EK179" s="3"/>
    </row>
    <row r="180" spans="1:14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</row>
    <row r="181" spans="1:141" x14ac:dyDescent="0.25">
      <c r="A181" s="3"/>
      <c r="B181" s="3"/>
      <c r="C181" s="3"/>
      <c r="D181" s="3"/>
      <c r="E181" s="3"/>
      <c r="F181" s="10" t="str">
        <f>KPI!$F$181</f>
        <v>Отток ДС по операционной деятельности</v>
      </c>
      <c r="G181" s="3"/>
      <c r="H181" s="3"/>
      <c r="I181" s="3"/>
      <c r="J181" s="5" t="str">
        <f>IF($F181="","",INDEX(KPI!$I$11:$I$275,SUMIFS(KPI!$E$11:$E$275,KPI!$F$11:$F$275,$F181)))</f>
        <v>тыс.руб.</v>
      </c>
      <c r="K181" s="3"/>
      <c r="L181" s="3"/>
      <c r="M181" s="3"/>
      <c r="N181" s="3"/>
      <c r="O181" s="3"/>
      <c r="P181" s="3"/>
      <c r="Q181" s="12">
        <f>SUM(S181:EJ181)</f>
        <v>10806194.862646675</v>
      </c>
      <c r="R181" s="3"/>
      <c r="S181" s="55"/>
      <c r="T181" s="33">
        <f>T147+T153+T159+T163+T167+T171+T175+T215+T217</f>
        <v>449.09677419354841</v>
      </c>
      <c r="U181" s="33">
        <f t="shared" ref="U181:CF181" si="77">U147+U153+U159+U163+U167+U171+U175+U215+U217</f>
        <v>1192.8064516129032</v>
      </c>
      <c r="V181" s="33">
        <f t="shared" si="77"/>
        <v>533.29032258064524</v>
      </c>
      <c r="W181" s="33">
        <f t="shared" si="77"/>
        <v>1568.1129032258063</v>
      </c>
      <c r="X181" s="33">
        <f t="shared" si="77"/>
        <v>1382.3814385341209</v>
      </c>
      <c r="Y181" s="33">
        <f t="shared" si="77"/>
        <v>15807.119334496103</v>
      </c>
      <c r="Z181" s="33">
        <f t="shared" si="77"/>
        <v>1306.678564004221</v>
      </c>
      <c r="AA181" s="33">
        <f t="shared" si="77"/>
        <v>4735.1586139290312</v>
      </c>
      <c r="AB181" s="33">
        <f t="shared" si="77"/>
        <v>1309.5150993852728</v>
      </c>
      <c r="AC181" s="33">
        <f t="shared" si="77"/>
        <v>5598.2190375144473</v>
      </c>
      <c r="AD181" s="33">
        <f t="shared" si="77"/>
        <v>1295.4516013598802</v>
      </c>
      <c r="AE181" s="33">
        <f t="shared" si="77"/>
        <v>12191.013496617712</v>
      </c>
      <c r="AF181" s="33">
        <f t="shared" si="77"/>
        <v>2355.6090505351881</v>
      </c>
      <c r="AG181" s="33">
        <f t="shared" si="77"/>
        <v>26357.159631204151</v>
      </c>
      <c r="AH181" s="33">
        <f t="shared" si="77"/>
        <v>2227.9594537058679</v>
      </c>
      <c r="AI181" s="33">
        <f t="shared" si="77"/>
        <v>7463.5527933556532</v>
      </c>
      <c r="AJ181" s="33">
        <f t="shared" si="77"/>
        <v>3529.4574598637228</v>
      </c>
      <c r="AK181" s="33">
        <f t="shared" si="77"/>
        <v>6856.4904846599229</v>
      </c>
      <c r="AL181" s="33">
        <f t="shared" si="77"/>
        <v>9928.9879921023166</v>
      </c>
      <c r="AM181" s="33">
        <f t="shared" si="77"/>
        <v>7255.9664766900933</v>
      </c>
      <c r="AN181" s="33">
        <f t="shared" si="77"/>
        <v>19625.098001780512</v>
      </c>
      <c r="AO181" s="33">
        <f t="shared" si="77"/>
        <v>15422.139507831947</v>
      </c>
      <c r="AP181" s="33">
        <f t="shared" si="77"/>
        <v>2459.7069762872125</v>
      </c>
      <c r="AQ181" s="33">
        <f t="shared" si="77"/>
        <v>47052.571174519289</v>
      </c>
      <c r="AR181" s="33">
        <f t="shared" si="77"/>
        <v>2905.9370875677405</v>
      </c>
      <c r="AS181" s="33">
        <f t="shared" si="77"/>
        <v>25139.503546963188</v>
      </c>
      <c r="AT181" s="33">
        <f t="shared" si="77"/>
        <v>2624.8168852760277</v>
      </c>
      <c r="AU181" s="33">
        <f t="shared" si="77"/>
        <v>42292.918734939361</v>
      </c>
      <c r="AV181" s="33">
        <f t="shared" si="77"/>
        <v>5310.2479770950695</v>
      </c>
      <c r="AW181" s="33">
        <f t="shared" si="77"/>
        <v>7307.1796888344343</v>
      </c>
      <c r="AX181" s="33">
        <f t="shared" si="77"/>
        <v>3754.6009222031062</v>
      </c>
      <c r="AY181" s="33">
        <f t="shared" si="77"/>
        <v>19844.685860792506</v>
      </c>
      <c r="AZ181" s="33">
        <f t="shared" si="77"/>
        <v>47278.728482041792</v>
      </c>
      <c r="BA181" s="33">
        <f t="shared" si="77"/>
        <v>33978.360117281496</v>
      </c>
      <c r="BB181" s="33">
        <f t="shared" si="77"/>
        <v>6645.3218410775398</v>
      </c>
      <c r="BC181" s="33">
        <f t="shared" si="77"/>
        <v>103262.14856010418</v>
      </c>
      <c r="BD181" s="33">
        <f t="shared" si="77"/>
        <v>3233.8131736560194</v>
      </c>
      <c r="BE181" s="33">
        <f t="shared" si="77"/>
        <v>10462.590399014027</v>
      </c>
      <c r="BF181" s="33">
        <f t="shared" si="77"/>
        <v>3323.1077252756631</v>
      </c>
      <c r="BG181" s="33">
        <f t="shared" si="77"/>
        <v>82498.837560307671</v>
      </c>
      <c r="BH181" s="33">
        <f t="shared" si="77"/>
        <v>9074.608367795423</v>
      </c>
      <c r="BI181" s="33">
        <f t="shared" si="77"/>
        <v>7180.249720111201</v>
      </c>
      <c r="BJ181" s="33">
        <f t="shared" si="77"/>
        <v>28978.621646959851</v>
      </c>
      <c r="BK181" s="33">
        <f t="shared" si="77"/>
        <v>7129.1261101894443</v>
      </c>
      <c r="BL181" s="33">
        <f t="shared" si="77"/>
        <v>98810.316771758313</v>
      </c>
      <c r="BM181" s="33">
        <f t="shared" si="77"/>
        <v>15309.42166551791</v>
      </c>
      <c r="BN181" s="33">
        <f t="shared" si="77"/>
        <v>171534.62733221726</v>
      </c>
      <c r="BO181" s="33">
        <f t="shared" si="77"/>
        <v>26974.874021120708</v>
      </c>
      <c r="BP181" s="33">
        <f t="shared" si="77"/>
        <v>4043.5702832235224</v>
      </c>
      <c r="BQ181" s="33">
        <f t="shared" si="77"/>
        <v>8829.6857201451003</v>
      </c>
      <c r="BR181" s="33">
        <f t="shared" si="77"/>
        <v>172390.46454221927</v>
      </c>
      <c r="BS181" s="33">
        <f t="shared" si="77"/>
        <v>7456.8575014196304</v>
      </c>
      <c r="BT181" s="33">
        <f t="shared" si="77"/>
        <v>89706.594931834959</v>
      </c>
      <c r="BU181" s="33">
        <f t="shared" si="77"/>
        <v>5378.101239495003</v>
      </c>
      <c r="BV181" s="33">
        <f t="shared" si="77"/>
        <v>64838.94752917884</v>
      </c>
      <c r="BW181" s="33">
        <f t="shared" si="77"/>
        <v>4685.7860201956109</v>
      </c>
      <c r="BX181" s="33">
        <f t="shared" si="77"/>
        <v>158281.27450275377</v>
      </c>
      <c r="BY181" s="33">
        <f t="shared" si="77"/>
        <v>6421.8711315443525</v>
      </c>
      <c r="BZ181" s="33">
        <f t="shared" si="77"/>
        <v>289488.46912332665</v>
      </c>
      <c r="CA181" s="33">
        <f t="shared" si="77"/>
        <v>23703.942905723918</v>
      </c>
      <c r="CB181" s="33">
        <f t="shared" si="77"/>
        <v>30520.569534822109</v>
      </c>
      <c r="CC181" s="33">
        <f t="shared" si="77"/>
        <v>6006.2524342636652</v>
      </c>
      <c r="CD181" s="33">
        <f t="shared" si="77"/>
        <v>422634.22407197615</v>
      </c>
      <c r="CE181" s="33">
        <f t="shared" si="77"/>
        <v>5377.2419017750035</v>
      </c>
      <c r="CF181" s="33">
        <f t="shared" si="77"/>
        <v>36649.752580687331</v>
      </c>
      <c r="CG181" s="33">
        <f t="shared" ref="CG181:EI181" si="78">CG147+CG153+CG159+CG163+CG167+CG171+CG175+CG215+CG217</f>
        <v>4229.8363503700684</v>
      </c>
      <c r="CH181" s="33">
        <f t="shared" si="78"/>
        <v>18098.966282711921</v>
      </c>
      <c r="CI181" s="33">
        <f t="shared" si="78"/>
        <v>5066.1396330792795</v>
      </c>
      <c r="CJ181" s="33">
        <f t="shared" si="78"/>
        <v>290677.88738772908</v>
      </c>
      <c r="CK181" s="33">
        <f t="shared" si="78"/>
        <v>7402.7835348116196</v>
      </c>
      <c r="CL181" s="33">
        <f t="shared" si="78"/>
        <v>307697.68159324478</v>
      </c>
      <c r="CM181" s="33">
        <f t="shared" si="78"/>
        <v>230698.09411610264</v>
      </c>
      <c r="CN181" s="33">
        <f t="shared" si="78"/>
        <v>28506.086796127576</v>
      </c>
      <c r="CO181" s="33">
        <f t="shared" si="78"/>
        <v>7669.7951802068337</v>
      </c>
      <c r="CP181" s="33">
        <f t="shared" si="78"/>
        <v>179793.00946651518</v>
      </c>
      <c r="CQ181" s="33">
        <f t="shared" si="78"/>
        <v>6414.7236456220444</v>
      </c>
      <c r="CR181" s="33">
        <f t="shared" si="78"/>
        <v>301790.64805567032</v>
      </c>
      <c r="CS181" s="33">
        <f t="shared" si="78"/>
        <v>4763.9320929468258</v>
      </c>
      <c r="CT181" s="33">
        <f t="shared" si="78"/>
        <v>22685.515098033193</v>
      </c>
      <c r="CU181" s="33">
        <f t="shared" si="78"/>
        <v>5892.1589650295546</v>
      </c>
      <c r="CV181" s="33">
        <f t="shared" si="78"/>
        <v>260914.70216035406</v>
      </c>
      <c r="CW181" s="33">
        <f t="shared" si="78"/>
        <v>8309.498089925657</v>
      </c>
      <c r="CX181" s="33">
        <f t="shared" si="78"/>
        <v>554818.45838015003</v>
      </c>
      <c r="CY181" s="33">
        <f t="shared" si="78"/>
        <v>48791.860184397199</v>
      </c>
      <c r="CZ181" s="33">
        <f t="shared" si="78"/>
        <v>54582.262246095233</v>
      </c>
      <c r="DA181" s="33">
        <f t="shared" si="78"/>
        <v>7251.025338292483</v>
      </c>
      <c r="DB181" s="33">
        <f t="shared" si="78"/>
        <v>468398.3009831013</v>
      </c>
      <c r="DC181" s="33">
        <f t="shared" si="78"/>
        <v>6711.1082743786401</v>
      </c>
      <c r="DD181" s="33">
        <f t="shared" si="78"/>
        <v>87271.643303316494</v>
      </c>
      <c r="DE181" s="33">
        <f t="shared" si="78"/>
        <v>4794.1345546576185</v>
      </c>
      <c r="DF181" s="33">
        <f t="shared" si="78"/>
        <v>21813.479824575516</v>
      </c>
      <c r="DG181" s="33">
        <f t="shared" si="78"/>
        <v>105378.58867897176</v>
      </c>
      <c r="DH181" s="33">
        <f t="shared" si="78"/>
        <v>351330.52590068069</v>
      </c>
      <c r="DI181" s="33">
        <f t="shared" si="78"/>
        <v>9572.6737416645119</v>
      </c>
      <c r="DJ181" s="33">
        <f t="shared" si="78"/>
        <v>481742.24018663226</v>
      </c>
      <c r="DK181" s="33">
        <f t="shared" si="78"/>
        <v>318447.9789825881</v>
      </c>
      <c r="DL181" s="33">
        <f t="shared" si="78"/>
        <v>57126.106359967933</v>
      </c>
      <c r="DM181" s="33">
        <f t="shared" si="78"/>
        <v>11612.018351203322</v>
      </c>
      <c r="DN181" s="33">
        <f t="shared" si="78"/>
        <v>270516.88004762208</v>
      </c>
      <c r="DO181" s="33">
        <f t="shared" si="78"/>
        <v>9051.8435569152443</v>
      </c>
      <c r="DP181" s="33">
        <f t="shared" si="78"/>
        <v>358137.28905732679</v>
      </c>
      <c r="DQ181" s="33">
        <f t="shared" si="78"/>
        <v>6465.8001748204233</v>
      </c>
      <c r="DR181" s="33">
        <f t="shared" si="78"/>
        <v>31067.700824799558</v>
      </c>
      <c r="DS181" s="33">
        <f t="shared" si="78"/>
        <v>8022.4504873874812</v>
      </c>
      <c r="DT181" s="33">
        <f t="shared" si="78"/>
        <v>405347.91073526052</v>
      </c>
      <c r="DU181" s="33">
        <f t="shared" si="78"/>
        <v>10624.316814827314</v>
      </c>
      <c r="DV181" s="33">
        <f t="shared" si="78"/>
        <v>589540.89039233432</v>
      </c>
      <c r="DW181" s="33">
        <f t="shared" si="78"/>
        <v>40608.399585704683</v>
      </c>
      <c r="DX181" s="33">
        <f t="shared" si="78"/>
        <v>284958.76120354212</v>
      </c>
      <c r="DY181" s="33">
        <f t="shared" si="78"/>
        <v>8323.4116603933126</v>
      </c>
      <c r="DZ181" s="33">
        <f t="shared" si="78"/>
        <v>503044.27413776296</v>
      </c>
      <c r="EA181" s="33">
        <f t="shared" si="78"/>
        <v>8323.0355458639096</v>
      </c>
      <c r="EB181" s="33">
        <f t="shared" si="78"/>
        <v>134023.92783365981</v>
      </c>
      <c r="EC181" s="33">
        <f t="shared" si="78"/>
        <v>6092.9051376114048</v>
      </c>
      <c r="ED181" s="33">
        <f t="shared" si="78"/>
        <v>25812.333428924543</v>
      </c>
      <c r="EE181" s="33">
        <f t="shared" si="78"/>
        <v>7285.6245751363458</v>
      </c>
      <c r="EF181" s="33">
        <f t="shared" si="78"/>
        <v>535557.11967962736</v>
      </c>
      <c r="EG181" s="33">
        <f t="shared" si="78"/>
        <v>86963.803501670263</v>
      </c>
      <c r="EH181" s="33">
        <f t="shared" si="78"/>
        <v>54520.439623157523</v>
      </c>
      <c r="EI181" s="33">
        <f t="shared" si="78"/>
        <v>842480.08811049606</v>
      </c>
      <c r="EJ181" s="3"/>
      <c r="EK181" s="3"/>
    </row>
    <row r="182" spans="1:14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2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</row>
    <row r="183" spans="1:141" x14ac:dyDescent="0.25">
      <c r="A183" s="3"/>
      <c r="B183" s="3"/>
      <c r="C183" s="3"/>
      <c r="D183" s="3"/>
      <c r="E183" s="3"/>
      <c r="F183" s="10" t="str">
        <f>KPI!$F$182</f>
        <v>Финансовый поток по операционной деятельности</v>
      </c>
      <c r="G183" s="3"/>
      <c r="H183" s="3"/>
      <c r="I183" s="3"/>
      <c r="J183" s="5" t="str">
        <f>IF($F183="","",INDEX(KPI!$I$11:$I$275,SUMIFS(KPI!$E$11:$E$275,KPI!$F$11:$F$275,$F183)))</f>
        <v>тыс.руб.</v>
      </c>
      <c r="K183" s="3"/>
      <c r="L183" s="3"/>
      <c r="M183" s="3"/>
      <c r="N183" s="3"/>
      <c r="O183" s="3"/>
      <c r="P183" s="3"/>
      <c r="Q183" s="12">
        <f>SUM(S183:EJ183)</f>
        <v>522127.98003563244</v>
      </c>
      <c r="R183" s="3"/>
      <c r="S183" s="55"/>
      <c r="T183" s="33">
        <f>T179-T181+T221-T223</f>
        <v>-449.09677419354841</v>
      </c>
      <c r="U183" s="33">
        <f t="shared" ref="U183:CF183" si="79">U179-U181+U221-U223</f>
        <v>-1191.1397849462364</v>
      </c>
      <c r="V183" s="33">
        <f t="shared" si="79"/>
        <v>2385.0430107526881</v>
      </c>
      <c r="W183" s="33">
        <f t="shared" si="79"/>
        <v>1421.9704301075276</v>
      </c>
      <c r="X183" s="33">
        <f t="shared" si="79"/>
        <v>2530.788346412116</v>
      </c>
      <c r="Y183" s="33">
        <f t="shared" si="79"/>
        <v>-10107.444688724336</v>
      </c>
      <c r="Z183" s="33">
        <f t="shared" si="79"/>
        <v>-521.99774948809204</v>
      </c>
      <c r="AA183" s="33">
        <f t="shared" si="79"/>
        <v>-3561.0717394129024</v>
      </c>
      <c r="AB183" s="33">
        <f t="shared" si="79"/>
        <v>141.26702087279168</v>
      </c>
      <c r="AC183" s="33">
        <f t="shared" si="79"/>
        <v>-3376.6438782886407</v>
      </c>
      <c r="AD183" s="33">
        <f t="shared" si="79"/>
        <v>1355.8537561302348</v>
      </c>
      <c r="AE183" s="33">
        <f t="shared" si="79"/>
        <v>-8842.7044613960679</v>
      </c>
      <c r="AF183" s="33">
        <f t="shared" si="79"/>
        <v>1261.1138403035218</v>
      </c>
      <c r="AG183" s="33">
        <f t="shared" si="79"/>
        <v>-18301.032200152826</v>
      </c>
      <c r="AH183" s="33">
        <f t="shared" si="79"/>
        <v>2678.8898941444536</v>
      </c>
      <c r="AI183" s="33">
        <f t="shared" si="79"/>
        <v>-1997.601618718234</v>
      </c>
      <c r="AJ183" s="33">
        <f t="shared" si="79"/>
        <v>2.6745398967941583</v>
      </c>
      <c r="AK183" s="33">
        <f t="shared" si="79"/>
        <v>-3406.967653630913</v>
      </c>
      <c r="AL183" s="33">
        <f t="shared" si="79"/>
        <v>-6041.9332386213255</v>
      </c>
      <c r="AM183" s="33">
        <f t="shared" si="79"/>
        <v>-2816.6652554067959</v>
      </c>
      <c r="AN183" s="33">
        <f t="shared" si="79"/>
        <v>-11998.151656262295</v>
      </c>
      <c r="AO183" s="33">
        <f t="shared" si="79"/>
        <v>-4662.8155722495103</v>
      </c>
      <c r="AP183" s="33">
        <f t="shared" si="79"/>
        <v>7541.7907539272765</v>
      </c>
      <c r="AQ183" s="33">
        <f t="shared" si="79"/>
        <v>-31545.738162494417</v>
      </c>
      <c r="AR183" s="33">
        <f t="shared" si="79"/>
        <v>7372.8125992038713</v>
      </c>
      <c r="AS183" s="33">
        <f t="shared" si="79"/>
        <v>-8581.6698346726916</v>
      </c>
      <c r="AT183" s="33">
        <f t="shared" si="79"/>
        <v>11866.471108273045</v>
      </c>
      <c r="AU183" s="33">
        <f t="shared" si="79"/>
        <v>-21585.080956639533</v>
      </c>
      <c r="AV183" s="33">
        <f t="shared" si="79"/>
        <v>5153.5671213918467</v>
      </c>
      <c r="AW183" s="33">
        <f t="shared" si="79"/>
        <v>1733.298697878339</v>
      </c>
      <c r="AX183" s="33">
        <f t="shared" si="79"/>
        <v>5428.6001602661909</v>
      </c>
      <c r="AY183" s="33">
        <f t="shared" si="79"/>
        <v>-6685.7189678034019</v>
      </c>
      <c r="AZ183" s="33">
        <f t="shared" si="79"/>
        <v>-25418.543046811152</v>
      </c>
      <c r="BA183" s="33">
        <f t="shared" si="79"/>
        <v>-4890.8044376674025</v>
      </c>
      <c r="BB183" s="33">
        <f t="shared" si="79"/>
        <v>24403.236141792266</v>
      </c>
      <c r="BC183" s="33">
        <f t="shared" si="79"/>
        <v>-61856.146747978753</v>
      </c>
      <c r="BD183" s="33">
        <f t="shared" si="79"/>
        <v>17678.758271181836</v>
      </c>
      <c r="BE183" s="33">
        <f t="shared" si="79"/>
        <v>17485.567002226482</v>
      </c>
      <c r="BF183" s="33">
        <f t="shared" si="79"/>
        <v>27512.192293803815</v>
      </c>
      <c r="BG183" s="33">
        <f t="shared" si="79"/>
        <v>-39648.272106490607</v>
      </c>
      <c r="BH183" s="33">
        <f t="shared" si="79"/>
        <v>13300.798700416461</v>
      </c>
      <c r="BI183" s="33">
        <f t="shared" si="79"/>
        <v>10999.56590058369</v>
      </c>
      <c r="BJ183" s="33">
        <f t="shared" si="79"/>
        <v>-5749.8450377390864</v>
      </c>
      <c r="BK183" s="33">
        <f t="shared" si="79"/>
        <v>15846.797265954068</v>
      </c>
      <c r="BL183" s="33">
        <f t="shared" si="79"/>
        <v>-49046.68813004822</v>
      </c>
      <c r="BM183" s="33">
        <f t="shared" si="79"/>
        <v>36379.781048009914</v>
      </c>
      <c r="BN183" s="33">
        <f t="shared" si="79"/>
        <v>-93635.321412819685</v>
      </c>
      <c r="BO183" s="33">
        <f t="shared" si="79"/>
        <v>39856.143324987373</v>
      </c>
      <c r="BP183" s="33">
        <f t="shared" si="79"/>
        <v>38252.429692373094</v>
      </c>
      <c r="BQ183" s="33">
        <f t="shared" si="79"/>
        <v>46937.182775380308</v>
      </c>
      <c r="BR183" s="33">
        <f t="shared" si="79"/>
        <v>-84009.166829153401</v>
      </c>
      <c r="BS183" s="33">
        <f t="shared" si="79"/>
        <v>53822.175225712439</v>
      </c>
      <c r="BT183" s="33">
        <f t="shared" si="79"/>
        <v>-31954.173793119571</v>
      </c>
      <c r="BU183" s="33">
        <f t="shared" si="79"/>
        <v>29415.553983456102</v>
      </c>
      <c r="BV183" s="33">
        <f t="shared" si="79"/>
        <v>-15131.964540783662</v>
      </c>
      <c r="BW183" s="33">
        <f t="shared" si="79"/>
        <v>42408.34226000827</v>
      </c>
      <c r="BX183" s="33">
        <f t="shared" si="79"/>
        <v>-57562.312056538998</v>
      </c>
      <c r="BY183" s="33">
        <f t="shared" si="79"/>
        <v>93668.261742246541</v>
      </c>
      <c r="BZ183" s="33">
        <f t="shared" si="79"/>
        <v>-118365.74379976261</v>
      </c>
      <c r="CA183" s="33">
        <f t="shared" si="79"/>
        <v>86117.178518090921</v>
      </c>
      <c r="CB183" s="33">
        <f t="shared" si="79"/>
        <v>28900.982666877673</v>
      </c>
      <c r="CC183" s="33">
        <f t="shared" si="79"/>
        <v>67792.014544575111</v>
      </c>
      <c r="CD183" s="33">
        <f t="shared" si="79"/>
        <v>-261127.03580761934</v>
      </c>
      <c r="CE183" s="33">
        <f t="shared" si="79"/>
        <v>77654.547668640807</v>
      </c>
      <c r="CF183" s="33">
        <f t="shared" si="79"/>
        <v>34377.360466767226</v>
      </c>
      <c r="CG183" s="33">
        <f t="shared" ref="CG183:EI183" si="80">CG179-CG181+CG221-CG223</f>
        <v>41252.310947952334</v>
      </c>
      <c r="CH183" s="33">
        <f t="shared" si="80"/>
        <v>44599.926161045267</v>
      </c>
      <c r="CI183" s="33">
        <f t="shared" si="80"/>
        <v>54386.723334019371</v>
      </c>
      <c r="CJ183" s="33">
        <f t="shared" si="80"/>
        <v>-154023.98108383734</v>
      </c>
      <c r="CK183" s="33">
        <f t="shared" si="80"/>
        <v>144947.17455099404</v>
      </c>
      <c r="CL183" s="33">
        <f t="shared" si="80"/>
        <v>-96398.333052872622</v>
      </c>
      <c r="CM183" s="33">
        <f t="shared" si="80"/>
        <v>-34183.0233217145</v>
      </c>
      <c r="CN183" s="33">
        <f t="shared" si="80"/>
        <v>53986.701966881621</v>
      </c>
      <c r="CO183" s="33">
        <f t="shared" si="80"/>
        <v>85531.368154415395</v>
      </c>
      <c r="CP183" s="33">
        <f t="shared" si="80"/>
        <v>-23734.005815671306</v>
      </c>
      <c r="CQ183" s="33">
        <f t="shared" si="80"/>
        <v>99002.894710292734</v>
      </c>
      <c r="CR183" s="33">
        <f t="shared" si="80"/>
        <v>-160866.7397192241</v>
      </c>
      <c r="CS183" s="33">
        <f t="shared" si="80"/>
        <v>53629.033026069126</v>
      </c>
      <c r="CT183" s="33">
        <f t="shared" si="80"/>
        <v>62673.026063414371</v>
      </c>
      <c r="CU183" s="33">
        <f t="shared" si="80"/>
        <v>71435.406674289174</v>
      </c>
      <c r="CV183" s="33">
        <f t="shared" si="80"/>
        <v>-73727.438188237895</v>
      </c>
      <c r="CW183" s="33">
        <f t="shared" si="80"/>
        <v>168055.4078155724</v>
      </c>
      <c r="CX183" s="33">
        <f t="shared" si="80"/>
        <v>-228681.17918037018</v>
      </c>
      <c r="CY183" s="33">
        <f t="shared" si="80"/>
        <v>148456.7474269075</v>
      </c>
      <c r="CZ183" s="33">
        <f t="shared" si="80"/>
        <v>43917.901532020318</v>
      </c>
      <c r="DA183" s="33">
        <f t="shared" si="80"/>
        <v>98876.126409919729</v>
      </c>
      <c r="DB183" s="33">
        <f t="shared" si="80"/>
        <v>-236686.27061517749</v>
      </c>
      <c r="DC183" s="33">
        <f t="shared" si="80"/>
        <v>114516.13789240041</v>
      </c>
      <c r="DD183" s="33">
        <f t="shared" si="80"/>
        <v>36909.06828436561</v>
      </c>
      <c r="DE183" s="33">
        <f t="shared" si="80"/>
        <v>64235.181256336175</v>
      </c>
      <c r="DF183" s="33">
        <f t="shared" si="80"/>
        <v>78737.575686022814</v>
      </c>
      <c r="DG183" s="33">
        <f t="shared" si="80"/>
        <v>-394.13203084392853</v>
      </c>
      <c r="DH183" s="33">
        <f t="shared" si="80"/>
        <v>-139029.21917495108</v>
      </c>
      <c r="DI183" s="33">
        <f t="shared" si="80"/>
        <v>230523.82647076232</v>
      </c>
      <c r="DJ183" s="33">
        <f t="shared" si="80"/>
        <v>-157102.54636670329</v>
      </c>
      <c r="DK183" s="33">
        <f t="shared" si="80"/>
        <v>-18215.949740728043</v>
      </c>
      <c r="DL183" s="33">
        <f t="shared" si="80"/>
        <v>53029.849856948174</v>
      </c>
      <c r="DM183" s="33">
        <f t="shared" si="80"/>
        <v>106132.76750627</v>
      </c>
      <c r="DN183" s="33">
        <f t="shared" si="80"/>
        <v>-52438.250480552735</v>
      </c>
      <c r="DO183" s="33">
        <f t="shared" si="80"/>
        <v>124600.2891322911</v>
      </c>
      <c r="DP183" s="33">
        <f t="shared" si="80"/>
        <v>-173866.21834544005</v>
      </c>
      <c r="DQ183" s="33">
        <f t="shared" si="80"/>
        <v>71075.238139026711</v>
      </c>
      <c r="DR183" s="33">
        <f t="shared" si="80"/>
        <v>82293.723872012924</v>
      </c>
      <c r="DS183" s="33">
        <f t="shared" si="80"/>
        <v>94322.934658366095</v>
      </c>
      <c r="DT183" s="33">
        <f t="shared" si="80"/>
        <v>-148177.43270685256</v>
      </c>
      <c r="DU183" s="33">
        <f t="shared" si="80"/>
        <v>220693.64339571065</v>
      </c>
      <c r="DV183" s="33">
        <f t="shared" si="80"/>
        <v>-185733.23091132997</v>
      </c>
      <c r="DW183" s="33">
        <f t="shared" si="80"/>
        <v>214722.28291815324</v>
      </c>
      <c r="DX183" s="33">
        <f t="shared" si="80"/>
        <v>-138584.15755614158</v>
      </c>
      <c r="DY183" s="33">
        <f t="shared" si="80"/>
        <v>111845.11972816469</v>
      </c>
      <c r="DZ183" s="33">
        <f t="shared" si="80"/>
        <v>-236279.93091790361</v>
      </c>
      <c r="EA183" s="33">
        <f t="shared" si="80"/>
        <v>128241.93790300324</v>
      </c>
      <c r="EB183" s="33">
        <f t="shared" si="80"/>
        <v>18458.456815240897</v>
      </c>
      <c r="EC183" s="33">
        <f t="shared" si="80"/>
        <v>74397.836820784156</v>
      </c>
      <c r="ED183" s="33">
        <f t="shared" si="80"/>
        <v>91219.283919059351</v>
      </c>
      <c r="EE183" s="33">
        <f t="shared" si="80"/>
        <v>109433.06493832394</v>
      </c>
      <c r="EF183" s="33">
        <f t="shared" si="80"/>
        <v>-294691.83649383788</v>
      </c>
      <c r="EG183" s="33">
        <f t="shared" si="80"/>
        <v>196975.39899564642</v>
      </c>
      <c r="EH183" s="33">
        <f t="shared" si="80"/>
        <v>298198.89822181466</v>
      </c>
      <c r="EI183" s="33">
        <f t="shared" si="80"/>
        <v>-475984.92827948503</v>
      </c>
      <c r="EJ183" s="3"/>
      <c r="EK183" s="3"/>
    </row>
    <row r="184" spans="1:14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2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</row>
    <row r="185" spans="1:141" x14ac:dyDescent="0.25">
      <c r="A185" s="3"/>
      <c r="B185" s="3"/>
      <c r="C185" s="3"/>
      <c r="D185" s="3"/>
      <c r="E185" s="3"/>
      <c r="F185" s="10" t="str">
        <f>KPI!$F$183</f>
        <v>Остаток денежных средств на конец периода по операц. деят-ти</v>
      </c>
      <c r="G185" s="3"/>
      <c r="H185" s="3"/>
      <c r="I185" s="3"/>
      <c r="J185" s="5" t="str">
        <f>IF($F185="","",INDEX(KPI!$I$11:$I$275,SUMIFS(KPI!$E$11:$E$275,KPI!$F$11:$F$275,$F185)))</f>
        <v>тыс.руб.</v>
      </c>
      <c r="K185" s="3"/>
      <c r="L185" s="3"/>
      <c r="M185" s="3"/>
      <c r="N185" s="3"/>
      <c r="O185" s="3"/>
      <c r="P185" s="3"/>
      <c r="Q185" s="12"/>
      <c r="R185" s="3"/>
      <c r="S185" s="55"/>
      <c r="T185" s="33">
        <f>S185+T183</f>
        <v>-449.09677419354841</v>
      </c>
      <c r="U185" s="33">
        <f t="shared" ref="U185:CF185" si="81">T185+U183</f>
        <v>-1640.2365591397847</v>
      </c>
      <c r="V185" s="33">
        <f t="shared" si="81"/>
        <v>744.8064516129034</v>
      </c>
      <c r="W185" s="33">
        <f t="shared" si="81"/>
        <v>2166.776881720431</v>
      </c>
      <c r="X185" s="33">
        <f t="shared" si="81"/>
        <v>4697.5652281325474</v>
      </c>
      <c r="Y185" s="33">
        <f t="shared" si="81"/>
        <v>-5409.8794605917883</v>
      </c>
      <c r="Z185" s="33">
        <f t="shared" si="81"/>
        <v>-5931.8772100798806</v>
      </c>
      <c r="AA185" s="33">
        <f t="shared" si="81"/>
        <v>-9492.9489494927839</v>
      </c>
      <c r="AB185" s="33">
        <f t="shared" si="81"/>
        <v>-9351.6819286199916</v>
      </c>
      <c r="AC185" s="33">
        <f t="shared" si="81"/>
        <v>-12728.325806908633</v>
      </c>
      <c r="AD185" s="33">
        <f t="shared" si="81"/>
        <v>-11372.472050778399</v>
      </c>
      <c r="AE185" s="33">
        <f t="shared" si="81"/>
        <v>-20215.176512174468</v>
      </c>
      <c r="AF185" s="33">
        <f t="shared" si="81"/>
        <v>-18954.062671870946</v>
      </c>
      <c r="AG185" s="33">
        <f t="shared" si="81"/>
        <v>-37255.094872023772</v>
      </c>
      <c r="AH185" s="33">
        <f t="shared" si="81"/>
        <v>-34576.204977879315</v>
      </c>
      <c r="AI185" s="33">
        <f t="shared" si="81"/>
        <v>-36573.806596597547</v>
      </c>
      <c r="AJ185" s="33">
        <f t="shared" si="81"/>
        <v>-36571.13205670075</v>
      </c>
      <c r="AK185" s="33">
        <f t="shared" si="81"/>
        <v>-39978.099710331662</v>
      </c>
      <c r="AL185" s="33">
        <f t="shared" si="81"/>
        <v>-46020.03294895299</v>
      </c>
      <c r="AM185" s="33">
        <f t="shared" si="81"/>
        <v>-48836.698204359789</v>
      </c>
      <c r="AN185" s="33">
        <f t="shared" si="81"/>
        <v>-60834.849860622082</v>
      </c>
      <c r="AO185" s="33">
        <f t="shared" si="81"/>
        <v>-65497.665432871596</v>
      </c>
      <c r="AP185" s="33">
        <f t="shared" si="81"/>
        <v>-57955.874678944318</v>
      </c>
      <c r="AQ185" s="33">
        <f t="shared" si="81"/>
        <v>-89501.612841438735</v>
      </c>
      <c r="AR185" s="33">
        <f t="shared" si="81"/>
        <v>-82128.800242234865</v>
      </c>
      <c r="AS185" s="33">
        <f t="shared" si="81"/>
        <v>-90710.470076907557</v>
      </c>
      <c r="AT185" s="33">
        <f t="shared" si="81"/>
        <v>-78843.998968634507</v>
      </c>
      <c r="AU185" s="33">
        <f t="shared" si="81"/>
        <v>-100429.07992527404</v>
      </c>
      <c r="AV185" s="33">
        <f t="shared" si="81"/>
        <v>-95275.512803882186</v>
      </c>
      <c r="AW185" s="33">
        <f t="shared" si="81"/>
        <v>-93542.214106003841</v>
      </c>
      <c r="AX185" s="33">
        <f t="shared" si="81"/>
        <v>-88113.613945737656</v>
      </c>
      <c r="AY185" s="33">
        <f t="shared" si="81"/>
        <v>-94799.33291354106</v>
      </c>
      <c r="AZ185" s="33">
        <f t="shared" si="81"/>
        <v>-120217.87596035222</v>
      </c>
      <c r="BA185" s="33">
        <f t="shared" si="81"/>
        <v>-125108.68039801963</v>
      </c>
      <c r="BB185" s="33">
        <f t="shared" si="81"/>
        <v>-100705.44425622736</v>
      </c>
      <c r="BC185" s="33">
        <f t="shared" si="81"/>
        <v>-162561.5910042061</v>
      </c>
      <c r="BD185" s="33">
        <f t="shared" si="81"/>
        <v>-144882.83273302426</v>
      </c>
      <c r="BE185" s="33">
        <f t="shared" si="81"/>
        <v>-127397.26573079778</v>
      </c>
      <c r="BF185" s="33">
        <f t="shared" si="81"/>
        <v>-99885.07343699396</v>
      </c>
      <c r="BG185" s="33">
        <f t="shared" si="81"/>
        <v>-139533.34554348455</v>
      </c>
      <c r="BH185" s="33">
        <f t="shared" si="81"/>
        <v>-126232.54684306809</v>
      </c>
      <c r="BI185" s="33">
        <f t="shared" si="81"/>
        <v>-115232.9809424844</v>
      </c>
      <c r="BJ185" s="33">
        <f t="shared" si="81"/>
        <v>-120982.82598022348</v>
      </c>
      <c r="BK185" s="33">
        <f t="shared" si="81"/>
        <v>-105136.02871426941</v>
      </c>
      <c r="BL185" s="33">
        <f t="shared" si="81"/>
        <v>-154182.71684431762</v>
      </c>
      <c r="BM185" s="33">
        <f t="shared" si="81"/>
        <v>-117802.93579630771</v>
      </c>
      <c r="BN185" s="33">
        <f t="shared" si="81"/>
        <v>-211438.25720912739</v>
      </c>
      <c r="BO185" s="33">
        <f t="shared" si="81"/>
        <v>-171582.11388414001</v>
      </c>
      <c r="BP185" s="33">
        <f t="shared" si="81"/>
        <v>-133329.68419176692</v>
      </c>
      <c r="BQ185" s="33">
        <f t="shared" si="81"/>
        <v>-86392.501416386614</v>
      </c>
      <c r="BR185" s="33">
        <f t="shared" si="81"/>
        <v>-170401.66824554</v>
      </c>
      <c r="BS185" s="33">
        <f t="shared" si="81"/>
        <v>-116579.49301982755</v>
      </c>
      <c r="BT185" s="33">
        <f t="shared" si="81"/>
        <v>-148533.66681294714</v>
      </c>
      <c r="BU185" s="33">
        <f t="shared" si="81"/>
        <v>-119118.11282949103</v>
      </c>
      <c r="BV185" s="33">
        <f t="shared" si="81"/>
        <v>-134250.0773702747</v>
      </c>
      <c r="BW185" s="33">
        <f t="shared" si="81"/>
        <v>-91841.735110266425</v>
      </c>
      <c r="BX185" s="33">
        <f t="shared" si="81"/>
        <v>-149404.04716680542</v>
      </c>
      <c r="BY185" s="33">
        <f t="shared" si="81"/>
        <v>-55735.785424558882</v>
      </c>
      <c r="BZ185" s="33">
        <f t="shared" si="81"/>
        <v>-174101.52922432148</v>
      </c>
      <c r="CA185" s="33">
        <f t="shared" si="81"/>
        <v>-87984.350706230558</v>
      </c>
      <c r="CB185" s="33">
        <f t="shared" si="81"/>
        <v>-59083.368039352885</v>
      </c>
      <c r="CC185" s="33">
        <f t="shared" si="81"/>
        <v>8708.6465052222266</v>
      </c>
      <c r="CD185" s="33">
        <f t="shared" si="81"/>
        <v>-252418.38930239712</v>
      </c>
      <c r="CE185" s="33">
        <f t="shared" si="81"/>
        <v>-174763.8416337563</v>
      </c>
      <c r="CF185" s="33">
        <f t="shared" si="81"/>
        <v>-140386.48116698908</v>
      </c>
      <c r="CG185" s="33">
        <f t="shared" ref="CG185:EH185" si="82">CF185+CG183</f>
        <v>-99134.17021903675</v>
      </c>
      <c r="CH185" s="33">
        <f t="shared" si="82"/>
        <v>-54534.244057991484</v>
      </c>
      <c r="CI185" s="33">
        <f t="shared" si="82"/>
        <v>-147.52072397211305</v>
      </c>
      <c r="CJ185" s="33">
        <f t="shared" si="82"/>
        <v>-154171.50180780946</v>
      </c>
      <c r="CK185" s="33">
        <f t="shared" si="82"/>
        <v>-9224.3272568154207</v>
      </c>
      <c r="CL185" s="33">
        <f t="shared" si="82"/>
        <v>-105622.66030968804</v>
      </c>
      <c r="CM185" s="33">
        <f t="shared" si="82"/>
        <v>-139805.68363140256</v>
      </c>
      <c r="CN185" s="33">
        <f t="shared" si="82"/>
        <v>-85818.981664520936</v>
      </c>
      <c r="CO185" s="33">
        <f t="shared" si="82"/>
        <v>-287.61351010554063</v>
      </c>
      <c r="CP185" s="33">
        <f t="shared" si="82"/>
        <v>-24021.619325776846</v>
      </c>
      <c r="CQ185" s="33">
        <f t="shared" si="82"/>
        <v>74981.275384515888</v>
      </c>
      <c r="CR185" s="33">
        <f t="shared" si="82"/>
        <v>-85885.464334708216</v>
      </c>
      <c r="CS185" s="33">
        <f t="shared" si="82"/>
        <v>-32256.43130863909</v>
      </c>
      <c r="CT185" s="33">
        <f t="shared" si="82"/>
        <v>30416.59475477528</v>
      </c>
      <c r="CU185" s="33">
        <f t="shared" si="82"/>
        <v>101852.00142906446</v>
      </c>
      <c r="CV185" s="33">
        <f t="shared" si="82"/>
        <v>28124.563240826566</v>
      </c>
      <c r="CW185" s="33">
        <f t="shared" si="82"/>
        <v>196179.97105639896</v>
      </c>
      <c r="CX185" s="33">
        <f t="shared" si="82"/>
        <v>-32501.208123971213</v>
      </c>
      <c r="CY185" s="33">
        <f t="shared" si="82"/>
        <v>115955.53930293629</v>
      </c>
      <c r="CZ185" s="33">
        <f t="shared" si="82"/>
        <v>159873.44083495659</v>
      </c>
      <c r="DA185" s="33">
        <f t="shared" si="82"/>
        <v>258749.56724487632</v>
      </c>
      <c r="DB185" s="33">
        <f t="shared" si="82"/>
        <v>22063.296629698831</v>
      </c>
      <c r="DC185" s="33">
        <f t="shared" si="82"/>
        <v>136579.43452209924</v>
      </c>
      <c r="DD185" s="33">
        <f t="shared" si="82"/>
        <v>173488.50280646485</v>
      </c>
      <c r="DE185" s="33">
        <f t="shared" si="82"/>
        <v>237723.68406280101</v>
      </c>
      <c r="DF185" s="33">
        <f t="shared" si="82"/>
        <v>316461.25974882382</v>
      </c>
      <c r="DG185" s="33">
        <f t="shared" si="82"/>
        <v>316067.12771797989</v>
      </c>
      <c r="DH185" s="33">
        <f t="shared" si="82"/>
        <v>177037.90854302881</v>
      </c>
      <c r="DI185" s="33">
        <f t="shared" si="82"/>
        <v>407561.73501379113</v>
      </c>
      <c r="DJ185" s="33">
        <f t="shared" si="82"/>
        <v>250459.18864708784</v>
      </c>
      <c r="DK185" s="33">
        <f t="shared" si="82"/>
        <v>232243.23890635979</v>
      </c>
      <c r="DL185" s="33">
        <f t="shared" si="82"/>
        <v>285273.08876330795</v>
      </c>
      <c r="DM185" s="33">
        <f t="shared" si="82"/>
        <v>391405.85626957798</v>
      </c>
      <c r="DN185" s="33">
        <f t="shared" si="82"/>
        <v>338967.60578902526</v>
      </c>
      <c r="DO185" s="33">
        <f t="shared" si="82"/>
        <v>463567.89492131636</v>
      </c>
      <c r="DP185" s="33">
        <f t="shared" si="82"/>
        <v>289701.67657587631</v>
      </c>
      <c r="DQ185" s="33">
        <f t="shared" si="82"/>
        <v>360776.91471490299</v>
      </c>
      <c r="DR185" s="33">
        <f t="shared" si="82"/>
        <v>443070.63858691591</v>
      </c>
      <c r="DS185" s="33">
        <f t="shared" si="82"/>
        <v>537393.57324528205</v>
      </c>
      <c r="DT185" s="33">
        <f t="shared" si="82"/>
        <v>389216.14053842949</v>
      </c>
      <c r="DU185" s="33">
        <f t="shared" si="82"/>
        <v>609909.78393414011</v>
      </c>
      <c r="DV185" s="33">
        <f t="shared" si="82"/>
        <v>424176.55302281014</v>
      </c>
      <c r="DW185" s="33">
        <f t="shared" si="82"/>
        <v>638898.83594096336</v>
      </c>
      <c r="DX185" s="33">
        <f t="shared" si="82"/>
        <v>500314.67838482175</v>
      </c>
      <c r="DY185" s="33">
        <f t="shared" si="82"/>
        <v>612159.79811298638</v>
      </c>
      <c r="DZ185" s="33">
        <f t="shared" si="82"/>
        <v>375879.86719508277</v>
      </c>
      <c r="EA185" s="33">
        <f t="shared" si="82"/>
        <v>504121.80509808601</v>
      </c>
      <c r="EB185" s="33">
        <f t="shared" si="82"/>
        <v>522580.26191332692</v>
      </c>
      <c r="EC185" s="33">
        <f t="shared" si="82"/>
        <v>596978.09873411106</v>
      </c>
      <c r="ED185" s="33">
        <f t="shared" si="82"/>
        <v>688197.38265317038</v>
      </c>
      <c r="EE185" s="33">
        <f t="shared" si="82"/>
        <v>797630.4475914943</v>
      </c>
      <c r="EF185" s="33">
        <f t="shared" si="82"/>
        <v>502938.61109765642</v>
      </c>
      <c r="EG185" s="33">
        <f t="shared" si="82"/>
        <v>699914.01009330282</v>
      </c>
      <c r="EH185" s="33">
        <f t="shared" si="82"/>
        <v>998112.90831511747</v>
      </c>
      <c r="EI185" s="33">
        <f>EH185+EI183</f>
        <v>522127.98003563244</v>
      </c>
      <c r="EJ185" s="3"/>
      <c r="EK185" s="3"/>
    </row>
    <row r="186" spans="1:14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2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</row>
    <row r="187" spans="1:141" x14ac:dyDescent="0.25">
      <c r="A187" s="3"/>
      <c r="B187" s="3"/>
      <c r="C187" s="3"/>
      <c r="D187" s="3"/>
      <c r="E187" s="3"/>
      <c r="F187" s="10" t="str">
        <f>KPI!$F$185</f>
        <v>Кредитный портфель на начало периода</v>
      </c>
      <c r="G187" s="3"/>
      <c r="H187" s="3"/>
      <c r="I187" s="3"/>
      <c r="J187" s="5" t="str">
        <f>IF($F187="","",INDEX(KPI!$I$11:$I$275,SUMIFS(KPI!$E$11:$E$275,KPI!$F$11:$F$275,$F187)))</f>
        <v>тыс.руб.</v>
      </c>
      <c r="K187" s="3"/>
      <c r="L187" s="3"/>
      <c r="M187" s="3"/>
      <c r="N187" s="3"/>
      <c r="O187" s="3"/>
      <c r="P187" s="3"/>
      <c r="Q187" s="12"/>
      <c r="R187" s="3"/>
      <c r="S187" s="33"/>
      <c r="T187" s="33">
        <v>0</v>
      </c>
      <c r="U187" s="33">
        <f>T195</f>
        <v>449.09677419354841</v>
      </c>
      <c r="V187" s="33">
        <f t="shared" ref="V187" si="83">U195</f>
        <v>1640.2365591397847</v>
      </c>
      <c r="W187" s="33">
        <f>V195</f>
        <v>0</v>
      </c>
      <c r="X187" s="33">
        <f t="shared" ref="X187" si="84">W195</f>
        <v>0</v>
      </c>
      <c r="Y187" s="33">
        <f t="shared" ref="Y187" si="85">X195</f>
        <v>0</v>
      </c>
      <c r="Z187" s="33">
        <f t="shared" ref="Z187" si="86">Y195</f>
        <v>5456.4990842477027</v>
      </c>
      <c r="AA187" s="33">
        <f t="shared" ref="AA187" si="87">Z195</f>
        <v>5978.496833735795</v>
      </c>
      <c r="AB187" s="33">
        <f t="shared" ref="AB187" si="88">AA195</f>
        <v>9539.5685731486974</v>
      </c>
      <c r="AC187" s="33">
        <f t="shared" ref="AC187" si="89">AB195</f>
        <v>9539.5685731486974</v>
      </c>
      <c r="AD187" s="33">
        <f t="shared" ref="AD187" si="90">AC195</f>
        <v>12916.212451437339</v>
      </c>
      <c r="AE187" s="33">
        <f t="shared" ref="AE187" si="91">AD195</f>
        <v>12123.423649023756</v>
      </c>
      <c r="AF187" s="33">
        <f t="shared" ref="AF187" si="92">AE195</f>
        <v>20966.128110419824</v>
      </c>
      <c r="AG187" s="33">
        <f t="shared" ref="AG187" si="93">AF195</f>
        <v>20229.167472876798</v>
      </c>
      <c r="AH187" s="33">
        <f t="shared" ref="AH187" si="94">AG195</f>
        <v>38530.199673029623</v>
      </c>
      <c r="AI187" s="33">
        <f t="shared" ref="AI187" si="95">AH195</f>
        <v>36814.564770710909</v>
      </c>
      <c r="AJ187" s="33">
        <f t="shared" ref="AJ187" si="96">AI195</f>
        <v>38812.166389429141</v>
      </c>
      <c r="AK187" s="33">
        <f t="shared" ref="AK187" si="97">AJ195</f>
        <v>38812.166389429141</v>
      </c>
      <c r="AL187" s="33">
        <f t="shared" ref="AL187" si="98">AK195</f>
        <v>42219.134043060054</v>
      </c>
      <c r="AM187" s="33">
        <f t="shared" ref="AM187" si="99">AL195</f>
        <v>48261.067281681382</v>
      </c>
      <c r="AN187" s="33">
        <f t="shared" ref="AN187" si="100">AM195</f>
        <v>51077.732537088181</v>
      </c>
      <c r="AO187" s="33">
        <f t="shared" ref="AO187" si="101">AN195</f>
        <v>63075.884193350474</v>
      </c>
      <c r="AP187" s="33">
        <f t="shared" ref="AP187" si="102">AO195</f>
        <v>67738.699765599988</v>
      </c>
      <c r="AQ187" s="33">
        <f t="shared" ref="AQ187" si="103">AP195</f>
        <v>65415.928851341392</v>
      </c>
      <c r="AR187" s="33">
        <f t="shared" ref="AR187" si="104">AQ195</f>
        <v>96961.667013835802</v>
      </c>
      <c r="AS187" s="33">
        <f t="shared" ref="AS187" si="105">AR195</f>
        <v>91770.491922443238</v>
      </c>
      <c r="AT187" s="33">
        <f t="shared" ref="AT187" si="106">AS195</f>
        <v>100352.16175711593</v>
      </c>
      <c r="AU187" s="33">
        <f t="shared" ref="AU187" si="107">AT195</f>
        <v>90492.733883985202</v>
      </c>
      <c r="AV187" s="33">
        <f t="shared" ref="AV187" si="108">AU195</f>
        <v>112077.81484062473</v>
      </c>
      <c r="AW187" s="33">
        <f t="shared" ref="AW187" si="109">AV195</f>
        <v>109165.80401604538</v>
      </c>
      <c r="AX187" s="33">
        <f t="shared" ref="AX187" si="110">AW195</f>
        <v>108524.1633583275</v>
      </c>
      <c r="AY187" s="33">
        <f t="shared" ref="AY187" si="111">AX195</f>
        <v>104180.80483164458</v>
      </c>
      <c r="AZ187" s="33">
        <f t="shared" ref="AZ187" si="112">AY195</f>
        <v>110866.52379944798</v>
      </c>
      <c r="BA187" s="33">
        <f t="shared" ref="BA187" si="113">AZ195</f>
        <v>136285.06684625914</v>
      </c>
      <c r="BB187" s="33">
        <f t="shared" ref="BB187" si="114">BA195</f>
        <v>141175.87128392654</v>
      </c>
      <c r="BC187" s="33">
        <f t="shared" ref="BC187" si="115">BB195</f>
        <v>122067.66847426987</v>
      </c>
      <c r="BD187" s="33">
        <f t="shared" ref="BD187" si="116">BC195</f>
        <v>183923.81522224861</v>
      </c>
      <c r="BE187" s="33">
        <f t="shared" ref="BE187" si="117">BD195</f>
        <v>169923.53325551175</v>
      </c>
      <c r="BF187" s="33">
        <f t="shared" ref="BF187" si="118">BE195</f>
        <v>154137.20158584038</v>
      </c>
      <c r="BG187" s="33">
        <f t="shared" ref="BG187" si="119">BF195</f>
        <v>128166.38130789496</v>
      </c>
      <c r="BH187" s="33">
        <f t="shared" ref="BH187" si="120">BG195</f>
        <v>167814.65341438557</v>
      </c>
      <c r="BI187" s="33">
        <f t="shared" ref="BI187" si="121">BH195</f>
        <v>157870.14778225683</v>
      </c>
      <c r="BJ187" s="33">
        <f t="shared" ref="BJ187" si="122">BI195</f>
        <v>148449.28335949572</v>
      </c>
      <c r="BK187" s="33">
        <f t="shared" ref="BK187" si="123">BJ195</f>
        <v>154199.1283972348</v>
      </c>
      <c r="BL187" s="33">
        <f t="shared" ref="BL187" si="124">BK195</f>
        <v>141436.31369922543</v>
      </c>
      <c r="BM187" s="33">
        <f t="shared" ref="BM187" si="125">BL195</f>
        <v>190483.00182927365</v>
      </c>
      <c r="BN187" s="33">
        <f t="shared" ref="BN187" si="126">BM195</f>
        <v>157912.88081784919</v>
      </c>
      <c r="BO187" s="33">
        <f t="shared" ref="BO187" si="127">BN195</f>
        <v>251548.20223066886</v>
      </c>
      <c r="BP187" s="33">
        <f t="shared" ref="BP187" si="128">BO195</f>
        <v>216723.02295029486</v>
      </c>
      <c r="BQ187" s="33">
        <f t="shared" ref="BQ187" si="129">BP195</f>
        <v>180637.82348742473</v>
      </c>
      <c r="BR187" s="33">
        <f t="shared" ref="BR187" si="130">BQ195</f>
        <v>135507.01894691866</v>
      </c>
      <c r="BS187" s="33">
        <f t="shared" ref="BS187" si="131">BR195</f>
        <v>219516.18577607206</v>
      </c>
      <c r="BT187" s="33">
        <f t="shared" ref="BT187" si="132">BS195</f>
        <v>170084.33426588107</v>
      </c>
      <c r="BU187" s="33">
        <f t="shared" ref="BU187" si="133">BT195</f>
        <v>202038.50805900065</v>
      </c>
      <c r="BV187" s="33">
        <f t="shared" ref="BV187" si="134">BU195</f>
        <v>176663.72423672458</v>
      </c>
      <c r="BW187" s="33">
        <f t="shared" ref="BW187" si="135">BV195</f>
        <v>191795.68877750824</v>
      </c>
      <c r="BX187" s="33">
        <f t="shared" ref="BX187" si="136">BW195</f>
        <v>153223.26029305015</v>
      </c>
      <c r="BY187" s="33">
        <f t="shared" ref="BY187" si="137">BX195</f>
        <v>210785.57234958914</v>
      </c>
      <c r="BZ187" s="33">
        <f t="shared" ref="BZ187" si="138">BY195</f>
        <v>121333.02205433439</v>
      </c>
      <c r="CA187" s="33">
        <f t="shared" ref="CA187" si="139">BZ195</f>
        <v>239698.765854097</v>
      </c>
      <c r="CB187" s="33">
        <f t="shared" ref="CB187" si="140">CA195</f>
        <v>158375.56265308801</v>
      </c>
      <c r="CC187" s="33">
        <f t="shared" ref="CC187" si="141">CB195</f>
        <v>130794.37634165274</v>
      </c>
      <c r="CD187" s="33">
        <f t="shared" ref="CD187" si="142">CC195</f>
        <v>64092.314933258065</v>
      </c>
      <c r="CE187" s="33">
        <f t="shared" ref="CE187" si="143">CD195</f>
        <v>325219.35074087739</v>
      </c>
      <c r="CF187" s="33">
        <f t="shared" ref="CF187" si="144">CE195</f>
        <v>252985.12558458454</v>
      </c>
      <c r="CG187" s="33">
        <f t="shared" ref="CG187" si="145">CF195</f>
        <v>220715.97449768885</v>
      </c>
      <c r="CH187" s="33">
        <f t="shared" ref="CH187" si="146">CG195</f>
        <v>181302.96333721725</v>
      </c>
      <c r="CI187" s="33">
        <f t="shared" ref="CI187" si="147">CH195</f>
        <v>138213.89520398213</v>
      </c>
      <c r="CJ187" s="33">
        <f t="shared" ref="CJ187" si="148">CI195</f>
        <v>84978.954329995933</v>
      </c>
      <c r="CK187" s="33">
        <f t="shared" ref="CK187" si="149">CJ195</f>
        <v>239002.93541383327</v>
      </c>
      <c r="CL187" s="33">
        <f t="shared" ref="CL187" si="150">CK195</f>
        <v>98039.143119736458</v>
      </c>
      <c r="CM187" s="33">
        <f t="shared" ref="CM187" si="151">CL195</f>
        <v>194437.47617260908</v>
      </c>
      <c r="CN187" s="33">
        <f t="shared" ref="CN187" si="152">CM195</f>
        <v>228620.49949432357</v>
      </c>
      <c r="CO187" s="33">
        <f t="shared" ref="CO187" si="153">CN195</f>
        <v>180064.45148711908</v>
      </c>
      <c r="CP187" s="33">
        <f t="shared" ref="CP187" si="154">CO195</f>
        <v>96033.620428429669</v>
      </c>
      <c r="CQ187" s="33">
        <f t="shared" ref="CQ187" si="155">CP195</f>
        <v>119767.62624410097</v>
      </c>
      <c r="CR187" s="33">
        <f t="shared" ref="CR187" si="156">CQ195</f>
        <v>22760.85863787659</v>
      </c>
      <c r="CS187" s="33">
        <f t="shared" ref="CS187" si="157">CR195</f>
        <v>183627.59835710068</v>
      </c>
      <c r="CT187" s="33">
        <f t="shared" ref="CT187" si="158">CS195</f>
        <v>133059.02530364989</v>
      </c>
      <c r="CU187" s="33">
        <f t="shared" ref="CU187" si="159">CT195</f>
        <v>71494.824451099266</v>
      </c>
      <c r="CV187" s="33">
        <f t="shared" ref="CV187" si="160">CU195</f>
        <v>655.20798056924832</v>
      </c>
      <c r="CW187" s="33">
        <f t="shared" ref="CW187" si="161">CV195</f>
        <v>74382.646168807143</v>
      </c>
      <c r="CX187" s="33">
        <f t="shared" ref="CX187" si="162">CW195</f>
        <v>0</v>
      </c>
      <c r="CY187" s="33">
        <f t="shared" ref="CY187" si="163">CX195</f>
        <v>136248.12830308505</v>
      </c>
      <c r="CZ187" s="33">
        <f t="shared" ref="CZ187" si="164">CY195</f>
        <v>0</v>
      </c>
      <c r="DA187" s="33">
        <f t="shared" ref="DA187" si="165">CZ195</f>
        <v>0</v>
      </c>
      <c r="DB187" s="33">
        <f t="shared" ref="DB187" si="166">DA195</f>
        <v>0</v>
      </c>
      <c r="DC187" s="33">
        <f t="shared" ref="DC187" si="167">DB195</f>
        <v>83954.425687799725</v>
      </c>
      <c r="DD187" s="33">
        <f t="shared" ref="DD187" si="168">DC195</f>
        <v>0</v>
      </c>
      <c r="DE187" s="33">
        <f t="shared" ref="DE187" si="169">DD195</f>
        <v>0</v>
      </c>
      <c r="DF187" s="33">
        <f t="shared" ref="DF187" si="170">DE195</f>
        <v>0</v>
      </c>
      <c r="DG187" s="33">
        <f t="shared" ref="DG187" si="171">DF195</f>
        <v>0</v>
      </c>
      <c r="DH187" s="33">
        <f t="shared" ref="DH187" si="172">DG195</f>
        <v>0</v>
      </c>
      <c r="DI187" s="33">
        <f t="shared" ref="DI187" si="173">DH195</f>
        <v>0</v>
      </c>
      <c r="DJ187" s="33">
        <f t="shared" ref="DJ187" si="174">DI195</f>
        <v>0</v>
      </c>
      <c r="DK187" s="33">
        <f t="shared" ref="DK187" si="175">DJ195</f>
        <v>0</v>
      </c>
      <c r="DL187" s="33">
        <f t="shared" ref="DL187" si="176">DK195</f>
        <v>0</v>
      </c>
      <c r="DM187" s="33">
        <f t="shared" ref="DM187" si="177">DL195</f>
        <v>0</v>
      </c>
      <c r="DN187" s="33">
        <f t="shared" ref="DN187" si="178">DM195</f>
        <v>0</v>
      </c>
      <c r="DO187" s="33">
        <f t="shared" ref="DO187" si="179">DN195</f>
        <v>0</v>
      </c>
      <c r="DP187" s="33">
        <f t="shared" ref="DP187" si="180">DO195</f>
        <v>0</v>
      </c>
      <c r="DQ187" s="33">
        <f t="shared" ref="DQ187" si="181">DP195</f>
        <v>0</v>
      </c>
      <c r="DR187" s="33">
        <f t="shared" ref="DR187" si="182">DQ195</f>
        <v>0</v>
      </c>
      <c r="DS187" s="33">
        <f t="shared" ref="DS187" si="183">DR195</f>
        <v>0</v>
      </c>
      <c r="DT187" s="33">
        <f t="shared" ref="DT187" si="184">DS195</f>
        <v>0</v>
      </c>
      <c r="DU187" s="33">
        <f t="shared" ref="DU187" si="185">DT195</f>
        <v>0</v>
      </c>
      <c r="DV187" s="33">
        <f t="shared" ref="DV187" si="186">DU195</f>
        <v>0</v>
      </c>
      <c r="DW187" s="33">
        <f t="shared" ref="DW187" si="187">DV195</f>
        <v>0</v>
      </c>
      <c r="DX187" s="33">
        <f t="shared" ref="DX187" si="188">DW195</f>
        <v>0</v>
      </c>
      <c r="DY187" s="33">
        <f t="shared" ref="DY187" si="189">DX195</f>
        <v>0</v>
      </c>
      <c r="DZ187" s="33">
        <f t="shared" ref="DZ187" si="190">DY195</f>
        <v>0</v>
      </c>
      <c r="EA187" s="33">
        <f t="shared" ref="EA187" si="191">DZ195</f>
        <v>0</v>
      </c>
      <c r="EB187" s="33">
        <f t="shared" ref="EB187" si="192">EA195</f>
        <v>0</v>
      </c>
      <c r="EC187" s="33">
        <f t="shared" ref="EC187" si="193">EB195</f>
        <v>0</v>
      </c>
      <c r="ED187" s="33">
        <f t="shared" ref="ED187" si="194">EC195</f>
        <v>0</v>
      </c>
      <c r="EE187" s="33">
        <f t="shared" ref="EE187" si="195">ED195</f>
        <v>0</v>
      </c>
      <c r="EF187" s="33">
        <f t="shared" ref="EF187" si="196">EE195</f>
        <v>0</v>
      </c>
      <c r="EG187" s="33">
        <f t="shared" ref="EG187" si="197">EF195</f>
        <v>0</v>
      </c>
      <c r="EH187" s="33">
        <f t="shared" ref="EH187" si="198">EG195</f>
        <v>0</v>
      </c>
      <c r="EI187" s="33">
        <f t="shared" ref="EI187" si="199">EH195</f>
        <v>0</v>
      </c>
      <c r="EJ187" s="3"/>
      <c r="EK187" s="3"/>
    </row>
    <row r="188" spans="1:14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2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</row>
    <row r="189" spans="1:141" x14ac:dyDescent="0.25">
      <c r="A189" s="3"/>
      <c r="B189" s="3"/>
      <c r="C189" s="3"/>
      <c r="D189" s="3"/>
      <c r="E189" s="3"/>
      <c r="F189" s="10" t="str">
        <f>KPI!$F$186</f>
        <v>Объем поступлений кредитных средств</v>
      </c>
      <c r="G189" s="3"/>
      <c r="H189" s="3"/>
      <c r="I189" s="3"/>
      <c r="J189" s="5" t="str">
        <f>IF($F189="","",INDEX(KPI!$I$11:$I$275,SUMIFS(KPI!$E$11:$E$275,KPI!$F$11:$F$275,$F189)))</f>
        <v>тыс.руб.</v>
      </c>
      <c r="K189" s="3"/>
      <c r="L189" s="3"/>
      <c r="M189" s="3"/>
      <c r="N189" s="3"/>
      <c r="O189" s="3"/>
      <c r="P189" s="3"/>
      <c r="Q189" s="12">
        <f>SUM(S189:EJ189)</f>
        <v>1752554.6215075999</v>
      </c>
      <c r="R189" s="3"/>
      <c r="S189" s="33"/>
      <c r="T189" s="33">
        <f>IF(T185&lt;0,-T185,0)</f>
        <v>449.09677419354841</v>
      </c>
      <c r="U189" s="33">
        <f>IF(T201+U183&lt;0,-(T201+U183),0)</f>
        <v>1191.1397849462364</v>
      </c>
      <c r="V189" s="33">
        <f t="shared" ref="V189" si="200">IF(U201+V183&lt;0,-(U201+V183),0)</f>
        <v>0</v>
      </c>
      <c r="W189" s="33">
        <f t="shared" ref="W189" si="201">IF(V201+W183&lt;0,-(V201+W183),0)</f>
        <v>0</v>
      </c>
      <c r="X189" s="33">
        <f t="shared" ref="X189" si="202">IF(W201+X183&lt;0,-(W201+X183),0)</f>
        <v>0</v>
      </c>
      <c r="Y189" s="33">
        <f t="shared" ref="Y189" si="203">IF(X201+Y183&lt;0,-(X201+Y183),0)</f>
        <v>5456.4990842477027</v>
      </c>
      <c r="Z189" s="33">
        <f t="shared" ref="Z189" si="204">IF(Y201+Z183&lt;0,-(Y201+Z183),0)</f>
        <v>521.99774948809204</v>
      </c>
      <c r="AA189" s="33">
        <f t="shared" ref="AA189" si="205">IF(Z201+AA183&lt;0,-(Z201+AA183),0)</f>
        <v>3561.0717394129024</v>
      </c>
      <c r="AB189" s="33">
        <f t="shared" ref="AB189" si="206">IF(AA201+AB183&lt;0,-(AA201+AB183),0)</f>
        <v>0</v>
      </c>
      <c r="AC189" s="33">
        <f t="shared" ref="AC189" si="207">IF(AB201+AC183&lt;0,-(AB201+AC183),0)</f>
        <v>3376.6438782886407</v>
      </c>
      <c r="AD189" s="33">
        <f t="shared" ref="AD189" si="208">IF(AC201+AD183&lt;0,-(AC201+AD183),0)</f>
        <v>0</v>
      </c>
      <c r="AE189" s="33">
        <f t="shared" ref="AE189" si="209">IF(AD201+AE183&lt;0,-(AD201+AE183),0)</f>
        <v>8842.7044613960679</v>
      </c>
      <c r="AF189" s="33">
        <f t="shared" ref="AF189" si="210">IF(AE201+AF183&lt;0,-(AE201+AF183),0)</f>
        <v>0</v>
      </c>
      <c r="AG189" s="33">
        <f t="shared" ref="AG189" si="211">IF(AF201+AG183&lt;0,-(AF201+AG183),0)</f>
        <v>18301.032200152826</v>
      </c>
      <c r="AH189" s="33">
        <f t="shared" ref="AH189" si="212">IF(AG201+AH183&lt;0,-(AG201+AH183),0)</f>
        <v>0</v>
      </c>
      <c r="AI189" s="33">
        <f t="shared" ref="AI189" si="213">IF(AH201+AI183&lt;0,-(AH201+AI183),0)</f>
        <v>1997.601618718234</v>
      </c>
      <c r="AJ189" s="33">
        <f t="shared" ref="AJ189" si="214">IF(AI201+AJ183&lt;0,-(AI201+AJ183),0)</f>
        <v>0</v>
      </c>
      <c r="AK189" s="33">
        <f t="shared" ref="AK189" si="215">IF(AJ201+AK183&lt;0,-(AJ201+AK183),0)</f>
        <v>3406.967653630913</v>
      </c>
      <c r="AL189" s="33">
        <f t="shared" ref="AL189" si="216">IF(AK201+AL183&lt;0,-(AK201+AL183),0)</f>
        <v>6041.9332386213255</v>
      </c>
      <c r="AM189" s="33">
        <f t="shared" ref="AM189" si="217">IF(AL201+AM183&lt;0,-(AL201+AM183),0)</f>
        <v>2816.6652554067959</v>
      </c>
      <c r="AN189" s="33">
        <f t="shared" ref="AN189" si="218">IF(AM201+AN183&lt;0,-(AM201+AN183),0)</f>
        <v>11998.151656262295</v>
      </c>
      <c r="AO189" s="33">
        <f t="shared" ref="AO189" si="219">IF(AN201+AO183&lt;0,-(AN201+AO183),0)</f>
        <v>4662.8155722495103</v>
      </c>
      <c r="AP189" s="33">
        <f t="shared" ref="AP189" si="220">IF(AO201+AP183&lt;0,-(AO201+AP183),0)</f>
        <v>0</v>
      </c>
      <c r="AQ189" s="33">
        <f t="shared" ref="AQ189" si="221">IF(AP201+AQ183&lt;0,-(AP201+AQ183),0)</f>
        <v>31545.738162494417</v>
      </c>
      <c r="AR189" s="33">
        <f t="shared" ref="AR189" si="222">IF(AQ201+AR183&lt;0,-(AQ201+AR183),0)</f>
        <v>0</v>
      </c>
      <c r="AS189" s="33">
        <f t="shared" ref="AS189" si="223">IF(AR201+AS183&lt;0,-(AR201+AS183),0)</f>
        <v>8581.6698346726916</v>
      </c>
      <c r="AT189" s="33">
        <f t="shared" ref="AT189" si="224">IF(AS201+AT183&lt;0,-(AS201+AT183),0)</f>
        <v>0</v>
      </c>
      <c r="AU189" s="33">
        <f t="shared" ref="AU189" si="225">IF(AT201+AU183&lt;0,-(AT201+AU183),0)</f>
        <v>21585.080956639533</v>
      </c>
      <c r="AV189" s="33">
        <f t="shared" ref="AV189" si="226">IF(AU201+AV183&lt;0,-(AU201+AV183),0)</f>
        <v>0</v>
      </c>
      <c r="AW189" s="33">
        <f t="shared" ref="AW189" si="227">IF(AV201+AW183&lt;0,-(AV201+AW183),0)</f>
        <v>0</v>
      </c>
      <c r="AX189" s="33">
        <f t="shared" ref="AX189" si="228">IF(AW201+AX183&lt;0,-(AW201+AX183),0)</f>
        <v>0</v>
      </c>
      <c r="AY189" s="33">
        <f t="shared" ref="AY189" si="229">IF(AX201+AY183&lt;0,-(AX201+AY183),0)</f>
        <v>6685.7189678034019</v>
      </c>
      <c r="AZ189" s="33">
        <f t="shared" ref="AZ189" si="230">IF(AY201+AZ183&lt;0,-(AY201+AZ183),0)</f>
        <v>25418.543046811152</v>
      </c>
      <c r="BA189" s="33">
        <f t="shared" ref="BA189" si="231">IF(AZ201+BA183&lt;0,-(AZ201+BA183),0)</f>
        <v>4890.8044376674025</v>
      </c>
      <c r="BB189" s="33">
        <f t="shared" ref="BB189" si="232">IF(BA201+BB183&lt;0,-(BA201+BB183),0)</f>
        <v>0</v>
      </c>
      <c r="BC189" s="33">
        <f t="shared" ref="BC189" si="233">IF(BB201+BC183&lt;0,-(BB201+BC183),0)</f>
        <v>61856.146747978753</v>
      </c>
      <c r="BD189" s="33">
        <f t="shared" ref="BD189" si="234">IF(BC201+BD183&lt;0,-(BC201+BD183),0)</f>
        <v>0</v>
      </c>
      <c r="BE189" s="33">
        <f t="shared" ref="BE189" si="235">IF(BD201+BE183&lt;0,-(BD201+BE183),0)</f>
        <v>0</v>
      </c>
      <c r="BF189" s="33">
        <f t="shared" ref="BF189" si="236">IF(BE201+BF183&lt;0,-(BE201+BF183),0)</f>
        <v>0</v>
      </c>
      <c r="BG189" s="33">
        <f t="shared" ref="BG189" si="237">IF(BF201+BG183&lt;0,-(BF201+BG183),0)</f>
        <v>39648.272106490607</v>
      </c>
      <c r="BH189" s="33">
        <f t="shared" ref="BH189" si="238">IF(BG201+BH183&lt;0,-(BG201+BH183),0)</f>
        <v>0</v>
      </c>
      <c r="BI189" s="33">
        <f t="shared" ref="BI189" si="239">IF(BH201+BI183&lt;0,-(BH201+BI183),0)</f>
        <v>0</v>
      </c>
      <c r="BJ189" s="33">
        <f t="shared" ref="BJ189" si="240">IF(BI201+BJ183&lt;0,-(BI201+BJ183),0)</f>
        <v>5749.8450377390864</v>
      </c>
      <c r="BK189" s="33">
        <f t="shared" ref="BK189" si="241">IF(BJ201+BK183&lt;0,-(BJ201+BK183),0)</f>
        <v>0</v>
      </c>
      <c r="BL189" s="33">
        <f t="shared" ref="BL189" si="242">IF(BK201+BL183&lt;0,-(BK201+BL183),0)</f>
        <v>49046.68813004822</v>
      </c>
      <c r="BM189" s="33">
        <f t="shared" ref="BM189" si="243">IF(BL201+BM183&lt;0,-(BL201+BM183),0)</f>
        <v>0</v>
      </c>
      <c r="BN189" s="33">
        <f t="shared" ref="BN189" si="244">IF(BM201+BN183&lt;0,-(BM201+BN183),0)</f>
        <v>93635.321412819685</v>
      </c>
      <c r="BO189" s="33">
        <f t="shared" ref="BO189" si="245">IF(BN201+BO183&lt;0,-(BN201+BO183),0)</f>
        <v>0</v>
      </c>
      <c r="BP189" s="33">
        <f t="shared" ref="BP189" si="246">IF(BO201+BP183&lt;0,-(BO201+BP183),0)</f>
        <v>0</v>
      </c>
      <c r="BQ189" s="33">
        <f t="shared" ref="BQ189" si="247">IF(BP201+BQ183&lt;0,-(BP201+BQ183),0)</f>
        <v>0</v>
      </c>
      <c r="BR189" s="33">
        <f t="shared" ref="BR189" si="248">IF(BQ201+BR183&lt;0,-(BQ201+BR183),0)</f>
        <v>84009.166829153401</v>
      </c>
      <c r="BS189" s="33">
        <f t="shared" ref="BS189" si="249">IF(BR201+BS183&lt;0,-(BR201+BS183),0)</f>
        <v>0</v>
      </c>
      <c r="BT189" s="33">
        <f t="shared" ref="BT189" si="250">IF(BS201+BT183&lt;0,-(BS201+BT183),0)</f>
        <v>31954.173793119571</v>
      </c>
      <c r="BU189" s="33">
        <f t="shared" ref="BU189" si="251">IF(BT201+BU183&lt;0,-(BT201+BU183),0)</f>
        <v>0</v>
      </c>
      <c r="BV189" s="33">
        <f t="shared" ref="BV189" si="252">IF(BU201+BV183&lt;0,-(BU201+BV183),0)</f>
        <v>15131.964540783662</v>
      </c>
      <c r="BW189" s="33">
        <f t="shared" ref="BW189" si="253">IF(BV201+BW183&lt;0,-(BV201+BW183),0)</f>
        <v>0</v>
      </c>
      <c r="BX189" s="33">
        <f t="shared" ref="BX189" si="254">IF(BW201+BX183&lt;0,-(BW201+BX183),0)</f>
        <v>57562.312056538998</v>
      </c>
      <c r="BY189" s="33">
        <f t="shared" ref="BY189" si="255">IF(BX201+BY183&lt;0,-(BX201+BY183),0)</f>
        <v>0</v>
      </c>
      <c r="BZ189" s="33">
        <f t="shared" ref="BZ189" si="256">IF(BY201+BZ183&lt;0,-(BY201+BZ183),0)</f>
        <v>118365.74379976261</v>
      </c>
      <c r="CA189" s="33">
        <f t="shared" ref="CA189" si="257">IF(BZ201+CA183&lt;0,-(BZ201+CA183),0)</f>
        <v>0</v>
      </c>
      <c r="CB189" s="33">
        <f t="shared" ref="CB189" si="258">IF(CA201+CB183&lt;0,-(CA201+CB183),0)</f>
        <v>0</v>
      </c>
      <c r="CC189" s="33">
        <f t="shared" ref="CC189" si="259">IF(CB201+CC183&lt;0,-(CB201+CC183),0)</f>
        <v>0</v>
      </c>
      <c r="CD189" s="33">
        <f t="shared" ref="CD189" si="260">IF(CC201+CD183&lt;0,-(CC201+CD183),0)</f>
        <v>261127.03580761934</v>
      </c>
      <c r="CE189" s="33">
        <f t="shared" ref="CE189" si="261">IF(CD201+CE183&lt;0,-(CD201+CE183),0)</f>
        <v>0</v>
      </c>
      <c r="CF189" s="33">
        <f t="shared" ref="CF189" si="262">IF(CE201+CF183&lt;0,-(CE201+CF183),0)</f>
        <v>0</v>
      </c>
      <c r="CG189" s="33">
        <f t="shared" ref="CG189" si="263">IF(CF201+CG183&lt;0,-(CF201+CG183),0)</f>
        <v>0</v>
      </c>
      <c r="CH189" s="33">
        <f t="shared" ref="CH189" si="264">IF(CG201+CH183&lt;0,-(CG201+CH183),0)</f>
        <v>0</v>
      </c>
      <c r="CI189" s="33">
        <f t="shared" ref="CI189" si="265">IF(CH201+CI183&lt;0,-(CH201+CI183),0)</f>
        <v>0</v>
      </c>
      <c r="CJ189" s="33">
        <f t="shared" ref="CJ189" si="266">IF(CI201+CJ183&lt;0,-(CI201+CJ183),0)</f>
        <v>154023.98108383734</v>
      </c>
      <c r="CK189" s="33">
        <f t="shared" ref="CK189" si="267">IF(CJ201+CK183&lt;0,-(CJ201+CK183),0)</f>
        <v>0</v>
      </c>
      <c r="CL189" s="33">
        <f t="shared" ref="CL189" si="268">IF(CK201+CL183&lt;0,-(CK201+CL183),0)</f>
        <v>96398.333052872622</v>
      </c>
      <c r="CM189" s="33">
        <f t="shared" ref="CM189" si="269">IF(CL201+CM183&lt;0,-(CL201+CM183),0)</f>
        <v>34183.0233217145</v>
      </c>
      <c r="CN189" s="33">
        <f t="shared" ref="CN189" si="270">IF(CM201+CN183&lt;0,-(CM201+CN183),0)</f>
        <v>0</v>
      </c>
      <c r="CO189" s="33">
        <f t="shared" ref="CO189" si="271">IF(CN201+CO183&lt;0,-(CN201+CO183),0)</f>
        <v>0</v>
      </c>
      <c r="CP189" s="33">
        <f t="shared" ref="CP189" si="272">IF(CO201+CP183&lt;0,-(CO201+CP183),0)</f>
        <v>23734.005815671306</v>
      </c>
      <c r="CQ189" s="33">
        <f t="shared" ref="CQ189" si="273">IF(CP201+CQ183&lt;0,-(CP201+CQ183),0)</f>
        <v>0</v>
      </c>
      <c r="CR189" s="33">
        <f t="shared" ref="CR189" si="274">IF(CQ201+CR183&lt;0,-(CQ201+CR183),0)</f>
        <v>160866.7397192241</v>
      </c>
      <c r="CS189" s="33">
        <f t="shared" ref="CS189" si="275">IF(CR201+CS183&lt;0,-(CR201+CS183),0)</f>
        <v>0</v>
      </c>
      <c r="CT189" s="33">
        <f t="shared" ref="CT189" si="276">IF(CS201+CT183&lt;0,-(CS201+CT183),0)</f>
        <v>0</v>
      </c>
      <c r="CU189" s="33">
        <f t="shared" ref="CU189" si="277">IF(CT201+CU183&lt;0,-(CT201+CU183),0)</f>
        <v>0</v>
      </c>
      <c r="CV189" s="33">
        <f t="shared" ref="CV189" si="278">IF(CU201+CV183&lt;0,-(CU201+CV183),0)</f>
        <v>73727.438188237895</v>
      </c>
      <c r="CW189" s="33">
        <f t="shared" ref="CW189" si="279">IF(CV201+CW183&lt;0,-(CV201+CW183),0)</f>
        <v>0</v>
      </c>
      <c r="CX189" s="33">
        <f t="shared" ref="CX189" si="280">IF(CW201+CX183&lt;0,-(CW201+CX183),0)</f>
        <v>136248.12830308505</v>
      </c>
      <c r="CY189" s="33">
        <f t="shared" ref="CY189" si="281">IF(CX201+CY183&lt;0,-(CX201+CY183),0)</f>
        <v>0</v>
      </c>
      <c r="CZ189" s="33">
        <f t="shared" ref="CZ189" si="282">IF(CY201+CZ183&lt;0,-(CY201+CZ183),0)</f>
        <v>0</v>
      </c>
      <c r="DA189" s="33">
        <f t="shared" ref="DA189" si="283">IF(CZ201+DA183&lt;0,-(CZ201+DA183),0)</f>
        <v>0</v>
      </c>
      <c r="DB189" s="33">
        <f t="shared" ref="DB189" si="284">IF(DA201+DB183&lt;0,-(DA201+DB183),0)</f>
        <v>83954.425687799725</v>
      </c>
      <c r="DC189" s="33">
        <f t="shared" ref="DC189" si="285">IF(DB201+DC183&lt;0,-(DB201+DC183),0)</f>
        <v>0</v>
      </c>
      <c r="DD189" s="33">
        <f t="shared" ref="DD189" si="286">IF(DC201+DD183&lt;0,-(DC201+DD183),0)</f>
        <v>0</v>
      </c>
      <c r="DE189" s="33">
        <f t="shared" ref="DE189" si="287">IF(DD201+DE183&lt;0,-(DD201+DE183),0)</f>
        <v>0</v>
      </c>
      <c r="DF189" s="33">
        <f t="shared" ref="DF189" si="288">IF(DE201+DF183&lt;0,-(DE201+DF183),0)</f>
        <v>0</v>
      </c>
      <c r="DG189" s="33">
        <f t="shared" ref="DG189" si="289">IF(DF201+DG183&lt;0,-(DF201+DG183),0)</f>
        <v>0</v>
      </c>
      <c r="DH189" s="33">
        <f t="shared" ref="DH189" si="290">IF(DG201+DH183&lt;0,-(DG201+DH183),0)</f>
        <v>0</v>
      </c>
      <c r="DI189" s="33">
        <f t="shared" ref="DI189" si="291">IF(DH201+DI183&lt;0,-(DH201+DI183),0)</f>
        <v>0</v>
      </c>
      <c r="DJ189" s="33">
        <f t="shared" ref="DJ189" si="292">IF(DI201+DJ183&lt;0,-(DI201+DJ183),0)</f>
        <v>0</v>
      </c>
      <c r="DK189" s="33">
        <f t="shared" ref="DK189" si="293">IF(DJ201+DK183&lt;0,-(DJ201+DK183),0)</f>
        <v>0</v>
      </c>
      <c r="DL189" s="33">
        <f t="shared" ref="DL189" si="294">IF(DK201+DL183&lt;0,-(DK201+DL183),0)</f>
        <v>0</v>
      </c>
      <c r="DM189" s="33">
        <f t="shared" ref="DM189" si="295">IF(DL201+DM183&lt;0,-(DL201+DM183),0)</f>
        <v>0</v>
      </c>
      <c r="DN189" s="33">
        <f t="shared" ref="DN189" si="296">IF(DM201+DN183&lt;0,-(DM201+DN183),0)</f>
        <v>0</v>
      </c>
      <c r="DO189" s="33">
        <f t="shared" ref="DO189" si="297">IF(DN201+DO183&lt;0,-(DN201+DO183),0)</f>
        <v>0</v>
      </c>
      <c r="DP189" s="33">
        <f t="shared" ref="DP189" si="298">IF(DO201+DP183&lt;0,-(DO201+DP183),0)</f>
        <v>0</v>
      </c>
      <c r="DQ189" s="33">
        <f t="shared" ref="DQ189" si="299">IF(DP201+DQ183&lt;0,-(DP201+DQ183),0)</f>
        <v>0</v>
      </c>
      <c r="DR189" s="33">
        <f t="shared" ref="DR189" si="300">IF(DQ201+DR183&lt;0,-(DQ201+DR183),0)</f>
        <v>0</v>
      </c>
      <c r="DS189" s="33">
        <f t="shared" ref="DS189" si="301">IF(DR201+DS183&lt;0,-(DR201+DS183),0)</f>
        <v>0</v>
      </c>
      <c r="DT189" s="33">
        <f t="shared" ref="DT189" si="302">IF(DS201+DT183&lt;0,-(DS201+DT183),0)</f>
        <v>0</v>
      </c>
      <c r="DU189" s="33">
        <f t="shared" ref="DU189" si="303">IF(DT201+DU183&lt;0,-(DT201+DU183),0)</f>
        <v>0</v>
      </c>
      <c r="DV189" s="33">
        <f t="shared" ref="DV189" si="304">IF(DU201+DV183&lt;0,-(DU201+DV183),0)</f>
        <v>0</v>
      </c>
      <c r="DW189" s="33">
        <f t="shared" ref="DW189" si="305">IF(DV201+DW183&lt;0,-(DV201+DW183),0)</f>
        <v>0</v>
      </c>
      <c r="DX189" s="33">
        <f t="shared" ref="DX189" si="306">IF(DW201+DX183&lt;0,-(DW201+DX183),0)</f>
        <v>0</v>
      </c>
      <c r="DY189" s="33">
        <f t="shared" ref="DY189" si="307">IF(DX201+DY183&lt;0,-(DX201+DY183),0)</f>
        <v>0</v>
      </c>
      <c r="DZ189" s="33">
        <f t="shared" ref="DZ189" si="308">IF(DY201+DZ183&lt;0,-(DY201+DZ183),0)</f>
        <v>0</v>
      </c>
      <c r="EA189" s="33">
        <f t="shared" ref="EA189" si="309">IF(DZ201+EA183&lt;0,-(DZ201+EA183),0)</f>
        <v>0</v>
      </c>
      <c r="EB189" s="33">
        <f t="shared" ref="EB189" si="310">IF(EA201+EB183&lt;0,-(EA201+EB183),0)</f>
        <v>0</v>
      </c>
      <c r="EC189" s="33">
        <f t="shared" ref="EC189" si="311">IF(EB201+EC183&lt;0,-(EB201+EC183),0)</f>
        <v>0</v>
      </c>
      <c r="ED189" s="33">
        <f t="shared" ref="ED189" si="312">IF(EC201+ED183&lt;0,-(EC201+ED183),0)</f>
        <v>0</v>
      </c>
      <c r="EE189" s="33">
        <f t="shared" ref="EE189" si="313">IF(ED201+EE183&lt;0,-(ED201+EE183),0)</f>
        <v>0</v>
      </c>
      <c r="EF189" s="33">
        <f t="shared" ref="EF189" si="314">IF(EE201+EF183&lt;0,-(EE201+EF183),0)</f>
        <v>0</v>
      </c>
      <c r="EG189" s="33">
        <f t="shared" ref="EG189" si="315">IF(EF201+EG183&lt;0,-(EF201+EG183),0)</f>
        <v>0</v>
      </c>
      <c r="EH189" s="33">
        <f t="shared" ref="EH189" si="316">IF(EG201+EH183&lt;0,-(EG201+EH183),0)</f>
        <v>0</v>
      </c>
      <c r="EI189" s="33">
        <f t="shared" ref="EI189" si="317">IF(EH201+EI183&lt;0,-(EH201+EI183),0)</f>
        <v>0</v>
      </c>
      <c r="EJ189" s="3"/>
      <c r="EK189" s="3"/>
    </row>
    <row r="190" spans="1:14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2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</row>
    <row r="191" spans="1:141" x14ac:dyDescent="0.25">
      <c r="A191" s="3"/>
      <c r="B191" s="3"/>
      <c r="C191" s="3"/>
      <c r="D191" s="3"/>
      <c r="E191" s="3"/>
      <c r="F191" s="10" t="str">
        <f>KPI!$F$187</f>
        <v>Объем возвратов кредитных средств</v>
      </c>
      <c r="G191" s="3"/>
      <c r="H191" s="3"/>
      <c r="I191" s="3"/>
      <c r="J191" s="5" t="str">
        <f>IF($F191="","",INDEX(KPI!$I$11:$I$275,SUMIFS(KPI!$E$11:$E$275,KPI!$F$11:$F$275,$F191)))</f>
        <v>тыс.руб.</v>
      </c>
      <c r="K191" s="3"/>
      <c r="L191" s="3"/>
      <c r="M191" s="3"/>
      <c r="N191" s="3"/>
      <c r="O191" s="3"/>
      <c r="P191" s="3"/>
      <c r="Q191" s="12">
        <f>SUM(S191:EJ191)</f>
        <v>1752554.6215075999</v>
      </c>
      <c r="R191" s="3"/>
      <c r="S191" s="33"/>
      <c r="T191" s="33">
        <v>0</v>
      </c>
      <c r="U191" s="33">
        <f>IF(AND(U183-U199&gt;0,U183-U199&lt;T195),U183-U199,IF(AND(U183-U199&gt;0,U183-U199&gt;T195),T195,0))</f>
        <v>0</v>
      </c>
      <c r="V191" s="33">
        <f t="shared" ref="V191" si="318">IF(AND(V183-V199&gt;0,V183-V199&lt;U195),V183-V199,IF(AND(V183-V199&gt;0,V183-V199&gt;U195),U195,0))</f>
        <v>1640.2365591397847</v>
      </c>
      <c r="W191" s="33">
        <f t="shared" ref="W191" si="319">IF(AND(W183-W199&gt;0,W183-W199&lt;V195),W183-W199,IF(AND(W183-W199&gt;0,W183-W199&gt;V195),V195,0))</f>
        <v>0</v>
      </c>
      <c r="X191" s="33">
        <f t="shared" ref="X191" si="320">IF(AND(X183-X199&gt;0,X183-X199&lt;W195),X183-X199,IF(AND(X183-X199&gt;0,X183-X199&gt;W195),W195,0))</f>
        <v>0</v>
      </c>
      <c r="Y191" s="33">
        <f t="shared" ref="Y191" si="321">IF(AND(Y183-Y199&gt;0,Y183-Y199&lt;X195),Y183-Y199,IF(AND(Y183-Y199&gt;0,Y183-Y199&gt;X195),X195,0))</f>
        <v>0</v>
      </c>
      <c r="Z191" s="33">
        <f t="shared" ref="Z191" si="322">IF(AND(Z183-Z199&gt;0,Z183-Z199&lt;Y195),Z183-Z199,IF(AND(Z183-Z199&gt;0,Z183-Z199&gt;Y195),Y195,0))</f>
        <v>0</v>
      </c>
      <c r="AA191" s="33">
        <f t="shared" ref="AA191" si="323">IF(AND(AA183-AA199&gt;0,AA183-AA199&lt;Z195),AA183-AA199,IF(AND(AA183-AA199&gt;0,AA183-AA199&gt;Z195),Z195,0))</f>
        <v>0</v>
      </c>
      <c r="AB191" s="33">
        <f t="shared" ref="AB191" si="324">IF(AND(AB183-AB199&gt;0,AB183-AB199&lt;AA195),AB183-AB199,IF(AND(AB183-AB199&gt;0,AB183-AB199&gt;AA195),AA195,0))</f>
        <v>0</v>
      </c>
      <c r="AC191" s="33">
        <f t="shared" ref="AC191" si="325">IF(AND(AC183-AC199&gt;0,AC183-AC199&lt;AB195),AC183-AC199,IF(AND(AC183-AC199&gt;0,AC183-AC199&gt;AB195),AB195,0))</f>
        <v>0</v>
      </c>
      <c r="AD191" s="33">
        <f t="shared" ref="AD191" si="326">IF(AND(AD183-AD199&gt;0,AD183-AD199&lt;AC195),AD183-AD199,IF(AND(AD183-AD199&gt;0,AD183-AD199&gt;AC195),AC195,0))</f>
        <v>792.78880241358183</v>
      </c>
      <c r="AE191" s="33">
        <f t="shared" ref="AE191" si="327">IF(AND(AE183-AE199&gt;0,AE183-AE199&lt;AD195),AE183-AE199,IF(AND(AE183-AE199&gt;0,AE183-AE199&gt;AD195),AD195,0))</f>
        <v>0</v>
      </c>
      <c r="AF191" s="33">
        <f t="shared" ref="AF191" si="328">IF(AND(AF183-AF199&gt;0,AF183-AF199&lt;AE195),AF183-AF199,IF(AND(AF183-AF199&gt;0,AF183-AF199&gt;AE195),AE195,0))</f>
        <v>736.960637543026</v>
      </c>
      <c r="AG191" s="33">
        <f t="shared" ref="AG191" si="329">IF(AND(AG183-AG199&gt;0,AG183-AG199&lt;AF195),AG183-AG199,IF(AND(AG183-AG199&gt;0,AG183-AG199&gt;AF195),AF195,0))</f>
        <v>0</v>
      </c>
      <c r="AH191" s="33">
        <f t="shared" ref="AH191" si="330">IF(AND(AH183-AH199&gt;0,AH183-AH199&lt;AG195),AH183-AH199,IF(AND(AH183-AH199&gt;0,AH183-AH199&gt;AG195),AG195,0))</f>
        <v>1715.6349023187131</v>
      </c>
      <c r="AI191" s="33">
        <f t="shared" ref="AI191" si="331">IF(AND(AI183-AI199&gt;0,AI183-AI199&lt;AH195),AI183-AI199,IF(AND(AI183-AI199&gt;0,AI183-AI199&gt;AH195),AH195,0))</f>
        <v>0</v>
      </c>
      <c r="AJ191" s="33">
        <f t="shared" ref="AJ191" si="332">IF(AND(AJ183-AJ199&gt;0,AJ183-AJ199&lt;AI195),AJ183-AJ199,IF(AND(AJ183-AJ199&gt;0,AJ183-AJ199&gt;AI195),AI195,0))</f>
        <v>0</v>
      </c>
      <c r="AK191" s="33">
        <f t="shared" ref="AK191" si="333">IF(AND(AK183-AK199&gt;0,AK183-AK199&lt;AJ195),AK183-AK199,IF(AND(AK183-AK199&gt;0,AK183-AK199&gt;AJ195),AJ195,0))</f>
        <v>0</v>
      </c>
      <c r="AL191" s="33">
        <f t="shared" ref="AL191" si="334">IF(AND(AL183-AL199&gt;0,AL183-AL199&lt;AK195),AL183-AL199,IF(AND(AL183-AL199&gt;0,AL183-AL199&gt;AK195),AK195,0))</f>
        <v>0</v>
      </c>
      <c r="AM191" s="33">
        <f t="shared" ref="AM191" si="335">IF(AND(AM183-AM199&gt;0,AM183-AM199&lt;AL195),AM183-AM199,IF(AND(AM183-AM199&gt;0,AM183-AM199&gt;AL195),AL195,0))</f>
        <v>0</v>
      </c>
      <c r="AN191" s="33">
        <f t="shared" ref="AN191" si="336">IF(AND(AN183-AN199&gt;0,AN183-AN199&lt;AM195),AN183-AN199,IF(AND(AN183-AN199&gt;0,AN183-AN199&gt;AM195),AM195,0))</f>
        <v>0</v>
      </c>
      <c r="AO191" s="33">
        <f t="shared" ref="AO191" si="337">IF(AND(AO183-AO199&gt;0,AO183-AO199&lt;AN195),AO183-AO199,IF(AND(AO183-AO199&gt;0,AO183-AO199&gt;AN195),AN195,0))</f>
        <v>0</v>
      </c>
      <c r="AP191" s="33">
        <f t="shared" ref="AP191" si="338">IF(AND(AP183-AP199&gt;0,AP183-AP199&lt;AO195),AP183-AP199,IF(AND(AP183-AP199&gt;0,AP183-AP199&gt;AO195),AO195,0))</f>
        <v>2322.7709142585927</v>
      </c>
      <c r="AQ191" s="33">
        <f t="shared" ref="AQ191" si="339">IF(AND(AQ183-AQ199&gt;0,AQ183-AQ199&lt;AP195),AQ183-AQ199,IF(AND(AQ183-AQ199&gt;0,AQ183-AQ199&gt;AP195),AP195,0))</f>
        <v>0</v>
      </c>
      <c r="AR191" s="33">
        <f t="shared" ref="AR191" si="340">IF(AND(AR183-AR199&gt;0,AR183-AR199&lt;AQ195),AR183-AR199,IF(AND(AR183-AR199&gt;0,AR183-AR199&gt;AQ195),AQ195,0))</f>
        <v>5191.1750913925662</v>
      </c>
      <c r="AS191" s="33">
        <f t="shared" ref="AS191" si="341">IF(AND(AS183-AS199&gt;0,AS183-AS199&lt;AR195),AS183-AS199,IF(AND(AS183-AS199&gt;0,AS183-AS199&gt;AR195),AR195,0))</f>
        <v>0</v>
      </c>
      <c r="AT191" s="33">
        <f t="shared" ref="AT191" si="342">IF(AND(AT183-AT199&gt;0,AT183-AT199&lt;AS195),AT183-AT199,IF(AND(AT183-AT199&gt;0,AT183-AT199&gt;AS195),AS195,0))</f>
        <v>9859.4278731307259</v>
      </c>
      <c r="AU191" s="33">
        <f t="shared" ref="AU191" si="343">IF(AND(AU183-AU199&gt;0,AU183-AU199&lt;AT195),AU183-AU199,IF(AND(AU183-AU199&gt;0,AU183-AU199&gt;AT195),AT195,0))</f>
        <v>0</v>
      </c>
      <c r="AV191" s="33">
        <f t="shared" ref="AV191" si="344">IF(AND(AV183-AV199&gt;0,AV183-AV199&lt;AU195),AV183-AV199,IF(AND(AV183-AV199&gt;0,AV183-AV199&gt;AU195),AU195,0))</f>
        <v>2912.0108245793526</v>
      </c>
      <c r="AW191" s="33">
        <f t="shared" ref="AW191" si="345">IF(AND(AW183-AW199&gt;0,AW183-AW199&lt;AV195),AW183-AW199,IF(AND(AW183-AW199&gt;0,AW183-AW199&gt;AV195),AV195,0))</f>
        <v>641.64065771788569</v>
      </c>
      <c r="AX191" s="33">
        <f t="shared" ref="AX191" si="346">IF(AND(AX183-AX199&gt;0,AX183-AX199&lt;AW195),AX183-AX199,IF(AND(AX183-AX199&gt;0,AX183-AX199&gt;AW195),AW195,0))</f>
        <v>4343.3585266829159</v>
      </c>
      <c r="AY191" s="33">
        <f t="shared" ref="AY191" si="347">IF(AND(AY183-AY199&gt;0,AY183-AY199&lt;AX195),AY183-AY199,IF(AND(AY183-AY199&gt;0,AY183-AY199&gt;AX195),AX195,0))</f>
        <v>0</v>
      </c>
      <c r="AZ191" s="33">
        <f t="shared" ref="AZ191" si="348">IF(AND(AZ183-AZ199&gt;0,AZ183-AZ199&lt;AY195),AZ183-AZ199,IF(AND(AZ183-AZ199&gt;0,AZ183-AZ199&gt;AY195),AY195,0))</f>
        <v>0</v>
      </c>
      <c r="BA191" s="33">
        <f t="shared" ref="BA191" si="349">IF(AND(BA183-BA199&gt;0,BA183-BA199&lt;AZ195),BA183-BA199,IF(AND(BA183-BA199&gt;0,BA183-BA199&gt;AZ195),AZ195,0))</f>
        <v>0</v>
      </c>
      <c r="BB191" s="33">
        <f t="shared" ref="BB191" si="350">IF(AND(BB183-BB199&gt;0,BB183-BB199&lt;BA195),BB183-BB199,IF(AND(BB183-BB199&gt;0,BB183-BB199&gt;BA195),BA195,0))</f>
        <v>19108.202809656665</v>
      </c>
      <c r="BC191" s="33">
        <f t="shared" ref="BC191" si="351">IF(AND(BC183-BC199&gt;0,BC183-BC199&lt;BB195),BC183-BC199,IF(AND(BC183-BC199&gt;0,BC183-BC199&gt;BB195),BB195,0))</f>
        <v>0</v>
      </c>
      <c r="BD191" s="33">
        <f t="shared" ref="BD191" si="352">IF(AND(BD183-BD199&gt;0,BD183-BD199&lt;BC195),BD183-BD199,IF(AND(BD183-BD199&gt;0,BD183-BD199&gt;BC195),BC195,0))</f>
        <v>14000.281966736864</v>
      </c>
      <c r="BE191" s="33">
        <f t="shared" ref="BE191" si="353">IF(AND(BE183-BE199&gt;0,BE183-BE199&lt;BD195),BE183-BE199,IF(AND(BE183-BE199&gt;0,BE183-BE199&gt;BD195),BD195,0))</f>
        <v>15786.331669671363</v>
      </c>
      <c r="BF191" s="33">
        <f t="shared" ref="BF191" si="354">IF(AND(BF183-BF199&gt;0,BF183-BF199&lt;BE195),BF183-BF199,IF(AND(BF183-BF199&gt;0,BF183-BF199&gt;BE195),BE195,0))</f>
        <v>25970.820277945411</v>
      </c>
      <c r="BG191" s="33">
        <f t="shared" ref="BG191" si="355">IF(AND(BG183-BG199&gt;0,BG183-BG199&lt;BF195),BG183-BG199,IF(AND(BG183-BG199&gt;0,BG183-BG199&gt;BF195),BF195,0))</f>
        <v>0</v>
      </c>
      <c r="BH191" s="33">
        <f t="shared" ref="BH191" si="356">IF(AND(BH183-BH199&gt;0,BH183-BH199&lt;BG195),BH183-BH199,IF(AND(BH183-BH199&gt;0,BH183-BH199&gt;BG195),BG195,0))</f>
        <v>9944.5056321287484</v>
      </c>
      <c r="BI191" s="33">
        <f t="shared" ref="BI191" si="357">IF(AND(BI183-BI199&gt;0,BI183-BI199&lt;BH195),BI183-BI199,IF(AND(BI183-BI199&gt;0,BI183-BI199&gt;BH195),BH195,0))</f>
        <v>9420.8644227611185</v>
      </c>
      <c r="BJ191" s="33">
        <f t="shared" ref="BJ191" si="358">IF(AND(BJ183-BJ199&gt;0,BJ183-BJ199&lt;BI195),BJ183-BJ199,IF(AND(BJ183-BJ199&gt;0,BJ183-BJ199&gt;BI195),BI195,0))</f>
        <v>0</v>
      </c>
      <c r="BK191" s="33">
        <f t="shared" ref="BK191" si="359">IF(AND(BK183-BK199&gt;0,BK183-BK199&lt;BJ195),BK183-BK199,IF(AND(BK183-BK199&gt;0,BK183-BK199&gt;BJ195),BJ195,0))</f>
        <v>12762.814698009373</v>
      </c>
      <c r="BL191" s="33">
        <f t="shared" ref="BL191" si="360">IF(AND(BL183-BL199&gt;0,BL183-BL199&lt;BK195),BL183-BL199,IF(AND(BL183-BL199&gt;0,BL183-BL199&gt;BK195),BK195,0))</f>
        <v>0</v>
      </c>
      <c r="BM191" s="33">
        <f t="shared" ref="BM191" si="361">IF(AND(BM183-BM199&gt;0,BM183-BM199&lt;BL195),BM183-BM199,IF(AND(BM183-BM199&gt;0,BM183-BM199&gt;BL195),BL195,0))</f>
        <v>32570.121011424446</v>
      </c>
      <c r="BN191" s="33">
        <f t="shared" ref="BN191" si="362">IF(AND(BN183-BN199&gt;0,BN183-BN199&lt;BM195),BN183-BN199,IF(AND(BN183-BN199&gt;0,BN183-BN199&gt;BM195),BM195,0))</f>
        <v>0</v>
      </c>
      <c r="BO191" s="33">
        <f t="shared" ref="BO191" si="363">IF(AND(BO183-BO199&gt;0,BO183-BO199&lt;BN195),BO183-BO199,IF(AND(BO183-BO199&gt;0,BO183-BO199&gt;BN195),BN195,0))</f>
        <v>34825.179280374003</v>
      </c>
      <c r="BP191" s="33">
        <f t="shared" ref="BP191" si="364">IF(AND(BP183-BP199&gt;0,BP183-BP199&lt;BO195),BP183-BP199,IF(AND(BP183-BP199&gt;0,BP183-BP199&gt;BO195),BO195,0))</f>
        <v>36085.199462870143</v>
      </c>
      <c r="BQ191" s="33">
        <f t="shared" ref="BQ191" si="365">IF(AND(BQ183-BQ199&gt;0,BQ183-BQ199&lt;BP195),BQ183-BQ199,IF(AND(BQ183-BQ199&gt;0,BQ183-BQ199&gt;BP195),BP195,0))</f>
        <v>45130.804540506062</v>
      </c>
      <c r="BR191" s="33">
        <f t="shared" ref="BR191" si="366">IF(AND(BR183-BR199&gt;0,BR183-BR199&lt;BQ195),BR183-BR199,IF(AND(BR183-BR199&gt;0,BR183-BR199&gt;BQ195),BQ195,0))</f>
        <v>0</v>
      </c>
      <c r="BS191" s="33">
        <f t="shared" ref="BS191" si="367">IF(AND(BS183-BS199&gt;0,BS183-BS199&lt;BR195),BS183-BS199,IF(AND(BS183-BS199&gt;0,BS183-BS199&gt;BR195),BR195,0))</f>
        <v>49431.851510190994</v>
      </c>
      <c r="BT191" s="33">
        <f t="shared" ref="BT191" si="368">IF(AND(BT183-BT199&gt;0,BT183-BT199&lt;BS195),BT183-BT199,IF(AND(BT183-BT199&gt;0,BT183-BT199&gt;BS195),BS195,0))</f>
        <v>0</v>
      </c>
      <c r="BU191" s="33">
        <f t="shared" ref="BU191" si="369">IF(AND(BU183-BU199&gt;0,BU183-BU199&lt;BT195),BU183-BU199,IF(AND(BU183-BU199&gt;0,BU183-BU199&gt;BT195),BT195,0))</f>
        <v>25374.783822276087</v>
      </c>
      <c r="BV191" s="33">
        <f t="shared" ref="BV191" si="370">IF(AND(BV183-BV199&gt;0,BV183-BV199&lt;BU195),BV183-BV199,IF(AND(BV183-BV199&gt;0,BV183-BV199&gt;BU195),BU195,0))</f>
        <v>0</v>
      </c>
      <c r="BW191" s="33">
        <f t="shared" ref="BW191" si="371">IF(AND(BW183-BW199&gt;0,BW183-BW199&lt;BV195),BW183-BW199,IF(AND(BW183-BW199&gt;0,BW183-BW199&gt;BV195),BV195,0))</f>
        <v>38572.428484458113</v>
      </c>
      <c r="BX191" s="33">
        <f t="shared" ref="BX191" si="372">IF(AND(BX183-BX199&gt;0,BX183-BX199&lt;BW195),BX183-BX199,IF(AND(BX183-BX199&gt;0,BX183-BX199&gt;BW195),BW195,0))</f>
        <v>0</v>
      </c>
      <c r="BY191" s="33">
        <f t="shared" ref="BY191" si="373">IF(AND(BY183-BY199&gt;0,BY183-BY199&lt;BX195),BY183-BY199,IF(AND(BY183-BY199&gt;0,BY183-BY199&gt;BX195),BX195,0))</f>
        <v>89452.550295254754</v>
      </c>
      <c r="BZ191" s="33">
        <f t="shared" ref="BZ191" si="374">IF(AND(BZ183-BZ199&gt;0,BZ183-BZ199&lt;BY195),BZ183-BZ199,IF(AND(BZ183-BZ199&gt;0,BZ183-BZ199&gt;BY195),BY195,0))</f>
        <v>0</v>
      </c>
      <c r="CA191" s="33">
        <f t="shared" ref="CA191" si="375">IF(AND(CA183-CA199&gt;0,CA183-CA199&lt;BZ195),CA183-CA199,IF(AND(CA183-CA199&gt;0,CA183-CA199&gt;BZ195),BZ195,0))</f>
        <v>81323.20320100899</v>
      </c>
      <c r="CB191" s="33">
        <f t="shared" ref="CB191" si="376">IF(AND(CB183-CB199&gt;0,CB183-CB199&lt;CA195),CB183-CB199,IF(AND(CB183-CB199&gt;0,CB183-CB199&gt;CA195),CA195,0))</f>
        <v>27581.186311435267</v>
      </c>
      <c r="CC191" s="33">
        <f t="shared" ref="CC191" si="377">IF(AND(CC183-CC199&gt;0,CC183-CC199&lt;CB195),CC183-CC199,IF(AND(CC183-CC199&gt;0,CC183-CC199&gt;CB195),CB195,0))</f>
        <v>66702.061408394671</v>
      </c>
      <c r="CD191" s="33">
        <f t="shared" ref="CD191" si="378">IF(AND(CD183-CD199&gt;0,CD183-CD199&lt;CC195),CD183-CD199,IF(AND(CD183-CD199&gt;0,CD183-CD199&gt;CC195),CC195,0))</f>
        <v>0</v>
      </c>
      <c r="CE191" s="33">
        <f t="shared" ref="CE191" si="379">IF(AND(CE183-CE199&gt;0,CE183-CE199&lt;CD195),CE183-CE199,IF(AND(CE183-CE199&gt;0,CE183-CE199&gt;CD195),CD195,0))</f>
        <v>72234.225156292858</v>
      </c>
      <c r="CF191" s="33">
        <f t="shared" ref="CF191" si="380">IF(AND(CF183-CF199&gt;0,CF183-CF199&lt;CE195),CF183-CF199,IF(AND(CF183-CF199&gt;0,CF183-CF199&gt;CE195),CE195,0))</f>
        <v>32269.15108689569</v>
      </c>
      <c r="CG191" s="33">
        <f t="shared" ref="CG191" si="381">IF(AND(CG183-CG199&gt;0,CG183-CG199&lt;CF195),CG183-CG199,IF(AND(CG183-CG199&gt;0,CG183-CG199&gt;CF195),CF195,0))</f>
        <v>39413.011160471586</v>
      </c>
      <c r="CH191" s="33">
        <f t="shared" ref="CH191" si="382">IF(AND(CH183-CH199&gt;0,CH183-CH199&lt;CG195),CH183-CH199,IF(AND(CH183-CH199&gt;0,CH183-CH199&gt;CG195),CG195,0))</f>
        <v>43089.068133235123</v>
      </c>
      <c r="CI191" s="33">
        <f t="shared" ref="CI191" si="383">IF(AND(CI183-CI199&gt;0,CI183-CI199&lt;CH195),CI183-CI199,IF(AND(CI183-CI199&gt;0,CI183-CI199&gt;CH195),CH195,0))</f>
        <v>53234.94087398619</v>
      </c>
      <c r="CJ191" s="33">
        <f t="shared" ref="CJ191" si="384">IF(AND(CJ183-CJ199&gt;0,CJ183-CJ199&lt;CI195),CJ183-CJ199,IF(AND(CJ183-CJ199&gt;0,CJ183-CJ199&gt;CI195),CI195,0))</f>
        <v>0</v>
      </c>
      <c r="CK191" s="33">
        <f t="shared" ref="CK191" si="385">IF(AND(CK183-CK199&gt;0,CK183-CK199&lt;CJ195),CK183-CK199,IF(AND(CK183-CK199&gt;0,CK183-CK199&gt;CJ195),CJ195,0))</f>
        <v>140963.79229409681</v>
      </c>
      <c r="CL191" s="33">
        <f t="shared" ref="CL191" si="386">IF(AND(CL183-CL199&gt;0,CL183-CL199&lt;CK195),CL183-CL199,IF(AND(CL183-CL199&gt;0,CL183-CL199&gt;CK195),CK195,0))</f>
        <v>0</v>
      </c>
      <c r="CM191" s="33">
        <f t="shared" ref="CM191" si="387">IF(AND(CM183-CM199&gt;0,CM183-CM199&lt;CL195),CM183-CM199,IF(AND(CM183-CM199&gt;0,CM183-CM199&gt;CL195),CL195,0))</f>
        <v>0</v>
      </c>
      <c r="CN191" s="33">
        <f t="shared" ref="CN191" si="388">IF(AND(CN183-CN199&gt;0,CN183-CN199&lt;CM195),CN183-CN199,IF(AND(CN183-CN199&gt;0,CN183-CN199&gt;CM195),CM195,0))</f>
        <v>48556.048007204488</v>
      </c>
      <c r="CO191" s="33">
        <f t="shared" ref="CO191" si="389">IF(AND(CO183-CO199&gt;0,CO183-CO199&lt;CN195),CO183-CO199,IF(AND(CO183-CO199&gt;0,CO183-CO199&gt;CN195),CN195,0))</f>
        <v>84030.831058689408</v>
      </c>
      <c r="CP191" s="33">
        <f t="shared" ref="CP191" si="390">IF(AND(CP183-CP199&gt;0,CP183-CP199&lt;CO195),CP183-CP199,IF(AND(CP183-CP199&gt;0,CP183-CP199&gt;CO195),CO195,0))</f>
        <v>0</v>
      </c>
      <c r="CQ191" s="33">
        <f t="shared" ref="CQ191" si="391">IF(AND(CQ183-CQ199&gt;0,CQ183-CQ199&lt;CP195),CQ183-CQ199,IF(AND(CQ183-CQ199&gt;0,CQ183-CQ199&gt;CP195),CP195,0))</f>
        <v>97006.767606224385</v>
      </c>
      <c r="CR191" s="33">
        <f t="shared" ref="CR191" si="392">IF(AND(CR183-CR199&gt;0,CR183-CR199&lt;CQ195),CR183-CR199,IF(AND(CR183-CR199&gt;0,CR183-CR199&gt;CQ195),CQ195,0))</f>
        <v>0</v>
      </c>
      <c r="CS191" s="33">
        <f t="shared" ref="CS191" si="393">IF(AND(CS183-CS199&gt;0,CS183-CS199&lt;CR195),CS183-CS199,IF(AND(CS183-CS199&gt;0,CS183-CS199&gt;CR195),CR195,0))</f>
        <v>50568.573053450775</v>
      </c>
      <c r="CT191" s="33">
        <f t="shared" ref="CT191" si="394">IF(AND(CT183-CT199&gt;0,CT183-CT199&lt;CS195),CT183-CT199,IF(AND(CT183-CT199&gt;0,CT183-CT199&gt;CS195),CS195,0))</f>
        <v>61564.200852550617</v>
      </c>
      <c r="CU191" s="33">
        <f t="shared" ref="CU191" si="395">IF(AND(CU183-CU199&gt;0,CU183-CU199&lt;CT195),CU183-CU199,IF(AND(CU183-CU199&gt;0,CU183-CU199&gt;CT195),CT195,0))</f>
        <v>70839.616470530018</v>
      </c>
      <c r="CV191" s="33">
        <f t="shared" ref="CV191" si="396">IF(AND(CV183-CV199&gt;0,CV183-CV199&lt;CU195),CV183-CV199,IF(AND(CV183-CV199&gt;0,CV183-CV199&gt;CU195),CU195,0))</f>
        <v>0</v>
      </c>
      <c r="CW191" s="33">
        <f t="shared" ref="CW191" si="397">IF(AND(CW183-CW199&gt;0,CW183-CW199&lt;CV195),CW183-CW199,IF(AND(CW183-CW199&gt;0,CW183-CW199&gt;CV195),CV195,0))</f>
        <v>74382.646168807143</v>
      </c>
      <c r="CX191" s="33">
        <f t="shared" ref="CX191" si="398">IF(AND(CX183-CX199&gt;0,CX183-CX199&lt;CW195),CX183-CX199,IF(AND(CX183-CX199&gt;0,CX183-CX199&gt;CW195),CW195,0))</f>
        <v>0</v>
      </c>
      <c r="CY191" s="33">
        <f t="shared" ref="CY191" si="399">IF(AND(CY183-CY199&gt;0,CY183-CY199&lt;CX195),CY183-CY199,IF(AND(CY183-CY199&gt;0,CY183-CY199&gt;CX195),CX195,0))</f>
        <v>136248.12830308505</v>
      </c>
      <c r="CZ191" s="33">
        <f t="shared" ref="CZ191" si="400">IF(AND(CZ183-CZ199&gt;0,CZ183-CZ199&lt;CY195),CZ183-CZ199,IF(AND(CZ183-CZ199&gt;0,CZ183-CZ199&gt;CY195),CY195,0))</f>
        <v>0</v>
      </c>
      <c r="DA191" s="33">
        <f t="shared" ref="DA191" si="401">IF(AND(DA183-DA199&gt;0,DA183-DA199&lt;CZ195),DA183-DA199,IF(AND(DA183-DA199&gt;0,DA183-DA199&gt;CZ195),CZ195,0))</f>
        <v>0</v>
      </c>
      <c r="DB191" s="33">
        <f t="shared" ref="DB191" si="402">IF(AND(DB183-DB199&gt;0,DB183-DB199&lt;DA195),DB183-DB199,IF(AND(DB183-DB199&gt;0,DB183-DB199&gt;DA195),DA195,0))</f>
        <v>0</v>
      </c>
      <c r="DC191" s="33">
        <f t="shared" ref="DC191" si="403">IF(AND(DC183-DC199&gt;0,DC183-DC199&lt;DB195),DC183-DC199,IF(AND(DC183-DC199&gt;0,DC183-DC199&gt;DB195),DB195,0))</f>
        <v>83954.425687799725</v>
      </c>
      <c r="DD191" s="33">
        <f t="shared" ref="DD191" si="404">IF(AND(DD183-DD199&gt;0,DD183-DD199&lt;DC195),DD183-DD199,IF(AND(DD183-DD199&gt;0,DD183-DD199&gt;DC195),DC195,0))</f>
        <v>0</v>
      </c>
      <c r="DE191" s="33">
        <f t="shared" ref="DE191" si="405">IF(AND(DE183-DE199&gt;0,DE183-DE199&lt;DD195),DE183-DE199,IF(AND(DE183-DE199&gt;0,DE183-DE199&gt;DD195),DD195,0))</f>
        <v>0</v>
      </c>
      <c r="DF191" s="33">
        <f t="shared" ref="DF191" si="406">IF(AND(DF183-DF199&gt;0,DF183-DF199&lt;DE195),DF183-DF199,IF(AND(DF183-DF199&gt;0,DF183-DF199&gt;DE195),DE195,0))</f>
        <v>0</v>
      </c>
      <c r="DG191" s="33">
        <f t="shared" ref="DG191" si="407">IF(AND(DG183-DG199&gt;0,DG183-DG199&lt;DF195),DG183-DG199,IF(AND(DG183-DG199&gt;0,DG183-DG199&gt;DF195),DF195,0))</f>
        <v>0</v>
      </c>
      <c r="DH191" s="33">
        <f t="shared" ref="DH191" si="408">IF(AND(DH183-DH199&gt;0,DH183-DH199&lt;DG195),DH183-DH199,IF(AND(DH183-DH199&gt;0,DH183-DH199&gt;DG195),DG195,0))</f>
        <v>0</v>
      </c>
      <c r="DI191" s="33">
        <f t="shared" ref="DI191" si="409">IF(AND(DI183-DI199&gt;0,DI183-DI199&lt;DH195),DI183-DI199,IF(AND(DI183-DI199&gt;0,DI183-DI199&gt;DH195),DH195,0))</f>
        <v>0</v>
      </c>
      <c r="DJ191" s="33">
        <f t="shared" ref="DJ191" si="410">IF(AND(DJ183-DJ199&gt;0,DJ183-DJ199&lt;DI195),DJ183-DJ199,IF(AND(DJ183-DJ199&gt;0,DJ183-DJ199&gt;DI195),DI195,0))</f>
        <v>0</v>
      </c>
      <c r="DK191" s="33">
        <f t="shared" ref="DK191" si="411">IF(AND(DK183-DK199&gt;0,DK183-DK199&lt;DJ195),DK183-DK199,IF(AND(DK183-DK199&gt;0,DK183-DK199&gt;DJ195),DJ195,0))</f>
        <v>0</v>
      </c>
      <c r="DL191" s="33">
        <f t="shared" ref="DL191" si="412">IF(AND(DL183-DL199&gt;0,DL183-DL199&lt;DK195),DL183-DL199,IF(AND(DL183-DL199&gt;0,DL183-DL199&gt;DK195),DK195,0))</f>
        <v>0</v>
      </c>
      <c r="DM191" s="33">
        <f t="shared" ref="DM191" si="413">IF(AND(DM183-DM199&gt;0,DM183-DM199&lt;DL195),DM183-DM199,IF(AND(DM183-DM199&gt;0,DM183-DM199&gt;DL195),DL195,0))</f>
        <v>0</v>
      </c>
      <c r="DN191" s="33">
        <f t="shared" ref="DN191" si="414">IF(AND(DN183-DN199&gt;0,DN183-DN199&lt;DM195),DN183-DN199,IF(AND(DN183-DN199&gt;0,DN183-DN199&gt;DM195),DM195,0))</f>
        <v>0</v>
      </c>
      <c r="DO191" s="33">
        <f t="shared" ref="DO191" si="415">IF(AND(DO183-DO199&gt;0,DO183-DO199&lt;DN195),DO183-DO199,IF(AND(DO183-DO199&gt;0,DO183-DO199&gt;DN195),DN195,0))</f>
        <v>0</v>
      </c>
      <c r="DP191" s="33">
        <f t="shared" ref="DP191" si="416">IF(AND(DP183-DP199&gt;0,DP183-DP199&lt;DO195),DP183-DP199,IF(AND(DP183-DP199&gt;0,DP183-DP199&gt;DO195),DO195,0))</f>
        <v>0</v>
      </c>
      <c r="DQ191" s="33">
        <f t="shared" ref="DQ191" si="417">IF(AND(DQ183-DQ199&gt;0,DQ183-DQ199&lt;DP195),DQ183-DQ199,IF(AND(DQ183-DQ199&gt;0,DQ183-DQ199&gt;DP195),DP195,0))</f>
        <v>0</v>
      </c>
      <c r="DR191" s="33">
        <f t="shared" ref="DR191" si="418">IF(AND(DR183-DR199&gt;0,DR183-DR199&lt;DQ195),DR183-DR199,IF(AND(DR183-DR199&gt;0,DR183-DR199&gt;DQ195),DQ195,0))</f>
        <v>0</v>
      </c>
      <c r="DS191" s="33">
        <f t="shared" ref="DS191" si="419">IF(AND(DS183-DS199&gt;0,DS183-DS199&lt;DR195),DS183-DS199,IF(AND(DS183-DS199&gt;0,DS183-DS199&gt;DR195),DR195,0))</f>
        <v>0</v>
      </c>
      <c r="DT191" s="33">
        <f t="shared" ref="DT191" si="420">IF(AND(DT183-DT199&gt;0,DT183-DT199&lt;DS195),DT183-DT199,IF(AND(DT183-DT199&gt;0,DT183-DT199&gt;DS195),DS195,0))</f>
        <v>0</v>
      </c>
      <c r="DU191" s="33">
        <f t="shared" ref="DU191" si="421">IF(AND(DU183-DU199&gt;0,DU183-DU199&lt;DT195),DU183-DU199,IF(AND(DU183-DU199&gt;0,DU183-DU199&gt;DT195),DT195,0))</f>
        <v>0</v>
      </c>
      <c r="DV191" s="33">
        <f t="shared" ref="DV191" si="422">IF(AND(DV183-DV199&gt;0,DV183-DV199&lt;DU195),DV183-DV199,IF(AND(DV183-DV199&gt;0,DV183-DV199&gt;DU195),DU195,0))</f>
        <v>0</v>
      </c>
      <c r="DW191" s="33">
        <f t="shared" ref="DW191" si="423">IF(AND(DW183-DW199&gt;0,DW183-DW199&lt;DV195),DW183-DW199,IF(AND(DW183-DW199&gt;0,DW183-DW199&gt;DV195),DV195,0))</f>
        <v>0</v>
      </c>
      <c r="DX191" s="33">
        <f t="shared" ref="DX191" si="424">IF(AND(DX183-DX199&gt;0,DX183-DX199&lt;DW195),DX183-DX199,IF(AND(DX183-DX199&gt;0,DX183-DX199&gt;DW195),DW195,0))</f>
        <v>0</v>
      </c>
      <c r="DY191" s="33">
        <f t="shared" ref="DY191" si="425">IF(AND(DY183-DY199&gt;0,DY183-DY199&lt;DX195),DY183-DY199,IF(AND(DY183-DY199&gt;0,DY183-DY199&gt;DX195),DX195,0))</f>
        <v>0</v>
      </c>
      <c r="DZ191" s="33">
        <f t="shared" ref="DZ191" si="426">IF(AND(DZ183-DZ199&gt;0,DZ183-DZ199&lt;DY195),DZ183-DZ199,IF(AND(DZ183-DZ199&gt;0,DZ183-DZ199&gt;DY195),DY195,0))</f>
        <v>0</v>
      </c>
      <c r="EA191" s="33">
        <f t="shared" ref="EA191" si="427">IF(AND(EA183-EA199&gt;0,EA183-EA199&lt;DZ195),EA183-EA199,IF(AND(EA183-EA199&gt;0,EA183-EA199&gt;DZ195),DZ195,0))</f>
        <v>0</v>
      </c>
      <c r="EB191" s="33">
        <f t="shared" ref="EB191" si="428">IF(AND(EB183-EB199&gt;0,EB183-EB199&lt;EA195),EB183-EB199,IF(AND(EB183-EB199&gt;0,EB183-EB199&gt;EA195),EA195,0))</f>
        <v>0</v>
      </c>
      <c r="EC191" s="33">
        <f t="shared" ref="EC191" si="429">IF(AND(EC183-EC199&gt;0,EC183-EC199&lt;EB195),EC183-EC199,IF(AND(EC183-EC199&gt;0,EC183-EC199&gt;EB195),EB195,0))</f>
        <v>0</v>
      </c>
      <c r="ED191" s="33">
        <f t="shared" ref="ED191" si="430">IF(AND(ED183-ED199&gt;0,ED183-ED199&lt;EC195),ED183-ED199,IF(AND(ED183-ED199&gt;0,ED183-ED199&gt;EC195),EC195,0))</f>
        <v>0</v>
      </c>
      <c r="EE191" s="33">
        <f t="shared" ref="EE191" si="431">IF(AND(EE183-EE199&gt;0,EE183-EE199&lt;ED195),EE183-EE199,IF(AND(EE183-EE199&gt;0,EE183-EE199&gt;ED195),ED195,0))</f>
        <v>0</v>
      </c>
      <c r="EF191" s="33">
        <f t="shared" ref="EF191" si="432">IF(AND(EF183-EF199&gt;0,EF183-EF199&lt;EE195),EF183-EF199,IF(AND(EF183-EF199&gt;0,EF183-EF199&gt;EE195),EE195,0))</f>
        <v>0</v>
      </c>
      <c r="EG191" s="33">
        <f t="shared" ref="EG191" si="433">IF(AND(EG183-EG199&gt;0,EG183-EG199&lt;EF195),EG183-EG199,IF(AND(EG183-EG199&gt;0,EG183-EG199&gt;EF195),EF195,0))</f>
        <v>0</v>
      </c>
      <c r="EH191" s="33">
        <f t="shared" ref="EH191" si="434">IF(AND(EH183-EH199&gt;0,EH183-EH199&lt;EG195),EH183-EH199,IF(AND(EH183-EH199&gt;0,EH183-EH199&gt;EG195),EG195,0))</f>
        <v>0</v>
      </c>
      <c r="EI191" s="33">
        <f t="shared" ref="EI191" si="435">IF(AND(EI183-EI199&gt;0,EI183-EI199&lt;EH195),EI183-EI199,IF(AND(EI183-EI199&gt;0,EI183-EI199&gt;EH195),EH195,0))</f>
        <v>0</v>
      </c>
      <c r="EJ191" s="3"/>
      <c r="EK191" s="3"/>
    </row>
    <row r="192" spans="1:14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2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</row>
    <row r="193" spans="1:141" x14ac:dyDescent="0.25">
      <c r="A193" s="3"/>
      <c r="B193" s="3"/>
      <c r="C193" s="3"/>
      <c r="D193" s="3"/>
      <c r="E193" s="3"/>
      <c r="F193" s="10" t="str">
        <f>KPI!$F$188</f>
        <v>Кредитный поток</v>
      </c>
      <c r="G193" s="3"/>
      <c r="H193" s="3"/>
      <c r="I193" s="3"/>
      <c r="J193" s="5" t="str">
        <f>IF($F193="","",INDEX(KPI!$I$11:$I$275,SUMIFS(KPI!$E$11:$E$275,KPI!$F$11:$F$275,$F193)))</f>
        <v>тыс.руб.</v>
      </c>
      <c r="K193" s="3"/>
      <c r="L193" s="3"/>
      <c r="M193" s="3"/>
      <c r="N193" s="3"/>
      <c r="O193" s="3"/>
      <c r="P193" s="3"/>
      <c r="Q193" s="12">
        <f>SUM(S193:EJ193)</f>
        <v>0</v>
      </c>
      <c r="R193" s="3"/>
      <c r="S193" s="33"/>
      <c r="T193" s="33">
        <f>T189-T191</f>
        <v>449.09677419354841</v>
      </c>
      <c r="U193" s="33">
        <f>U189-U191</f>
        <v>1191.1397849462364</v>
      </c>
      <c r="V193" s="33">
        <f>V189-V191</f>
        <v>-1640.2365591397847</v>
      </c>
      <c r="W193" s="33">
        <f t="shared" ref="W193:AA193" si="436">W189-W191</f>
        <v>0</v>
      </c>
      <c r="X193" s="33">
        <f t="shared" si="436"/>
        <v>0</v>
      </c>
      <c r="Y193" s="33">
        <f t="shared" si="436"/>
        <v>5456.4990842477027</v>
      </c>
      <c r="Z193" s="33">
        <f t="shared" si="436"/>
        <v>521.99774948809204</v>
      </c>
      <c r="AA193" s="33">
        <f t="shared" si="436"/>
        <v>3561.0717394129024</v>
      </c>
      <c r="AB193" s="33">
        <f t="shared" ref="AB193:CM193" si="437">AB189-AB191</f>
        <v>0</v>
      </c>
      <c r="AC193" s="33">
        <f t="shared" si="437"/>
        <v>3376.6438782886407</v>
      </c>
      <c r="AD193" s="33">
        <f t="shared" si="437"/>
        <v>-792.78880241358183</v>
      </c>
      <c r="AE193" s="33">
        <f t="shared" si="437"/>
        <v>8842.7044613960679</v>
      </c>
      <c r="AF193" s="33">
        <f t="shared" si="437"/>
        <v>-736.960637543026</v>
      </c>
      <c r="AG193" s="33">
        <f t="shared" si="437"/>
        <v>18301.032200152826</v>
      </c>
      <c r="AH193" s="33">
        <f t="shared" si="437"/>
        <v>-1715.6349023187131</v>
      </c>
      <c r="AI193" s="33">
        <f t="shared" si="437"/>
        <v>1997.601618718234</v>
      </c>
      <c r="AJ193" s="33">
        <f t="shared" si="437"/>
        <v>0</v>
      </c>
      <c r="AK193" s="33">
        <f t="shared" si="437"/>
        <v>3406.967653630913</v>
      </c>
      <c r="AL193" s="33">
        <f t="shared" si="437"/>
        <v>6041.9332386213255</v>
      </c>
      <c r="AM193" s="33">
        <f t="shared" si="437"/>
        <v>2816.6652554067959</v>
      </c>
      <c r="AN193" s="33">
        <f t="shared" si="437"/>
        <v>11998.151656262295</v>
      </c>
      <c r="AO193" s="33">
        <f t="shared" si="437"/>
        <v>4662.8155722495103</v>
      </c>
      <c r="AP193" s="33">
        <f t="shared" si="437"/>
        <v>-2322.7709142585927</v>
      </c>
      <c r="AQ193" s="33">
        <f t="shared" si="437"/>
        <v>31545.738162494417</v>
      </c>
      <c r="AR193" s="33">
        <f t="shared" si="437"/>
        <v>-5191.1750913925662</v>
      </c>
      <c r="AS193" s="33">
        <f t="shared" si="437"/>
        <v>8581.6698346726916</v>
      </c>
      <c r="AT193" s="33">
        <f t="shared" si="437"/>
        <v>-9859.4278731307259</v>
      </c>
      <c r="AU193" s="33">
        <f t="shared" si="437"/>
        <v>21585.080956639533</v>
      </c>
      <c r="AV193" s="33">
        <f t="shared" si="437"/>
        <v>-2912.0108245793526</v>
      </c>
      <c r="AW193" s="33">
        <f t="shared" si="437"/>
        <v>-641.64065771788569</v>
      </c>
      <c r="AX193" s="33">
        <f t="shared" si="437"/>
        <v>-4343.3585266829159</v>
      </c>
      <c r="AY193" s="33">
        <f t="shared" si="437"/>
        <v>6685.7189678034019</v>
      </c>
      <c r="AZ193" s="33">
        <f t="shared" si="437"/>
        <v>25418.543046811152</v>
      </c>
      <c r="BA193" s="33">
        <f t="shared" si="437"/>
        <v>4890.8044376674025</v>
      </c>
      <c r="BB193" s="33">
        <f t="shared" si="437"/>
        <v>-19108.202809656665</v>
      </c>
      <c r="BC193" s="33">
        <f t="shared" si="437"/>
        <v>61856.146747978753</v>
      </c>
      <c r="BD193" s="33">
        <f t="shared" si="437"/>
        <v>-14000.281966736864</v>
      </c>
      <c r="BE193" s="33">
        <f t="shared" si="437"/>
        <v>-15786.331669671363</v>
      </c>
      <c r="BF193" s="33">
        <f t="shared" si="437"/>
        <v>-25970.820277945411</v>
      </c>
      <c r="BG193" s="33">
        <f t="shared" si="437"/>
        <v>39648.272106490607</v>
      </c>
      <c r="BH193" s="33">
        <f t="shared" si="437"/>
        <v>-9944.5056321287484</v>
      </c>
      <c r="BI193" s="33">
        <f t="shared" si="437"/>
        <v>-9420.8644227611185</v>
      </c>
      <c r="BJ193" s="33">
        <f t="shared" si="437"/>
        <v>5749.8450377390864</v>
      </c>
      <c r="BK193" s="33">
        <f t="shared" si="437"/>
        <v>-12762.814698009373</v>
      </c>
      <c r="BL193" s="33">
        <f t="shared" si="437"/>
        <v>49046.68813004822</v>
      </c>
      <c r="BM193" s="33">
        <f t="shared" si="437"/>
        <v>-32570.121011424446</v>
      </c>
      <c r="BN193" s="33">
        <f t="shared" si="437"/>
        <v>93635.321412819685</v>
      </c>
      <c r="BO193" s="33">
        <f t="shared" si="437"/>
        <v>-34825.179280374003</v>
      </c>
      <c r="BP193" s="33">
        <f t="shared" si="437"/>
        <v>-36085.199462870143</v>
      </c>
      <c r="BQ193" s="33">
        <f t="shared" si="437"/>
        <v>-45130.804540506062</v>
      </c>
      <c r="BR193" s="33">
        <f t="shared" si="437"/>
        <v>84009.166829153401</v>
      </c>
      <c r="BS193" s="33">
        <f t="shared" si="437"/>
        <v>-49431.851510190994</v>
      </c>
      <c r="BT193" s="33">
        <f t="shared" si="437"/>
        <v>31954.173793119571</v>
      </c>
      <c r="BU193" s="33">
        <f t="shared" si="437"/>
        <v>-25374.783822276087</v>
      </c>
      <c r="BV193" s="33">
        <f t="shared" si="437"/>
        <v>15131.964540783662</v>
      </c>
      <c r="BW193" s="33">
        <f t="shared" si="437"/>
        <v>-38572.428484458113</v>
      </c>
      <c r="BX193" s="33">
        <f t="shared" si="437"/>
        <v>57562.312056538998</v>
      </c>
      <c r="BY193" s="33">
        <f t="shared" si="437"/>
        <v>-89452.550295254754</v>
      </c>
      <c r="BZ193" s="33">
        <f t="shared" si="437"/>
        <v>118365.74379976261</v>
      </c>
      <c r="CA193" s="33">
        <f t="shared" si="437"/>
        <v>-81323.20320100899</v>
      </c>
      <c r="CB193" s="33">
        <f t="shared" si="437"/>
        <v>-27581.186311435267</v>
      </c>
      <c r="CC193" s="33">
        <f t="shared" si="437"/>
        <v>-66702.061408394671</v>
      </c>
      <c r="CD193" s="33">
        <f t="shared" si="437"/>
        <v>261127.03580761934</v>
      </c>
      <c r="CE193" s="33">
        <f t="shared" si="437"/>
        <v>-72234.225156292858</v>
      </c>
      <c r="CF193" s="33">
        <f t="shared" si="437"/>
        <v>-32269.15108689569</v>
      </c>
      <c r="CG193" s="33">
        <f t="shared" si="437"/>
        <v>-39413.011160471586</v>
      </c>
      <c r="CH193" s="33">
        <f t="shared" si="437"/>
        <v>-43089.068133235123</v>
      </c>
      <c r="CI193" s="33">
        <f t="shared" si="437"/>
        <v>-53234.94087398619</v>
      </c>
      <c r="CJ193" s="33">
        <f t="shared" si="437"/>
        <v>154023.98108383734</v>
      </c>
      <c r="CK193" s="33">
        <f t="shared" si="437"/>
        <v>-140963.79229409681</v>
      </c>
      <c r="CL193" s="33">
        <f t="shared" si="437"/>
        <v>96398.333052872622</v>
      </c>
      <c r="CM193" s="33">
        <f t="shared" si="437"/>
        <v>34183.0233217145</v>
      </c>
      <c r="CN193" s="33">
        <f t="shared" ref="CN193:EI193" si="438">CN189-CN191</f>
        <v>-48556.048007204488</v>
      </c>
      <c r="CO193" s="33">
        <f t="shared" si="438"/>
        <v>-84030.831058689408</v>
      </c>
      <c r="CP193" s="33">
        <f t="shared" si="438"/>
        <v>23734.005815671306</v>
      </c>
      <c r="CQ193" s="33">
        <f t="shared" si="438"/>
        <v>-97006.767606224385</v>
      </c>
      <c r="CR193" s="33">
        <f t="shared" si="438"/>
        <v>160866.7397192241</v>
      </c>
      <c r="CS193" s="33">
        <f t="shared" si="438"/>
        <v>-50568.573053450775</v>
      </c>
      <c r="CT193" s="33">
        <f t="shared" si="438"/>
        <v>-61564.200852550617</v>
      </c>
      <c r="CU193" s="33">
        <f t="shared" si="438"/>
        <v>-70839.616470530018</v>
      </c>
      <c r="CV193" s="33">
        <f t="shared" si="438"/>
        <v>73727.438188237895</v>
      </c>
      <c r="CW193" s="33">
        <f t="shared" si="438"/>
        <v>-74382.646168807143</v>
      </c>
      <c r="CX193" s="33">
        <f t="shared" si="438"/>
        <v>136248.12830308505</v>
      </c>
      <c r="CY193" s="33">
        <f t="shared" si="438"/>
        <v>-136248.12830308505</v>
      </c>
      <c r="CZ193" s="33">
        <f t="shared" si="438"/>
        <v>0</v>
      </c>
      <c r="DA193" s="33">
        <f t="shared" si="438"/>
        <v>0</v>
      </c>
      <c r="DB193" s="33">
        <f t="shared" si="438"/>
        <v>83954.425687799725</v>
      </c>
      <c r="DC193" s="33">
        <f t="shared" si="438"/>
        <v>-83954.425687799725</v>
      </c>
      <c r="DD193" s="33">
        <f t="shared" si="438"/>
        <v>0</v>
      </c>
      <c r="DE193" s="33">
        <f t="shared" si="438"/>
        <v>0</v>
      </c>
      <c r="DF193" s="33">
        <f t="shared" si="438"/>
        <v>0</v>
      </c>
      <c r="DG193" s="33">
        <f t="shared" si="438"/>
        <v>0</v>
      </c>
      <c r="DH193" s="33">
        <f t="shared" si="438"/>
        <v>0</v>
      </c>
      <c r="DI193" s="33">
        <f t="shared" si="438"/>
        <v>0</v>
      </c>
      <c r="DJ193" s="33">
        <f t="shared" si="438"/>
        <v>0</v>
      </c>
      <c r="DK193" s="33">
        <f t="shared" si="438"/>
        <v>0</v>
      </c>
      <c r="DL193" s="33">
        <f t="shared" si="438"/>
        <v>0</v>
      </c>
      <c r="DM193" s="33">
        <f t="shared" si="438"/>
        <v>0</v>
      </c>
      <c r="DN193" s="33">
        <f t="shared" si="438"/>
        <v>0</v>
      </c>
      <c r="DO193" s="33">
        <f t="shared" si="438"/>
        <v>0</v>
      </c>
      <c r="DP193" s="33">
        <f t="shared" si="438"/>
        <v>0</v>
      </c>
      <c r="DQ193" s="33">
        <f t="shared" si="438"/>
        <v>0</v>
      </c>
      <c r="DR193" s="33">
        <f t="shared" si="438"/>
        <v>0</v>
      </c>
      <c r="DS193" s="33">
        <f t="shared" si="438"/>
        <v>0</v>
      </c>
      <c r="DT193" s="33">
        <f t="shared" si="438"/>
        <v>0</v>
      </c>
      <c r="DU193" s="33">
        <f t="shared" si="438"/>
        <v>0</v>
      </c>
      <c r="DV193" s="33">
        <f t="shared" si="438"/>
        <v>0</v>
      </c>
      <c r="DW193" s="33">
        <f t="shared" si="438"/>
        <v>0</v>
      </c>
      <c r="DX193" s="33">
        <f t="shared" si="438"/>
        <v>0</v>
      </c>
      <c r="DY193" s="33">
        <f t="shared" si="438"/>
        <v>0</v>
      </c>
      <c r="DZ193" s="33">
        <f t="shared" si="438"/>
        <v>0</v>
      </c>
      <c r="EA193" s="33">
        <f t="shared" si="438"/>
        <v>0</v>
      </c>
      <c r="EB193" s="33">
        <f t="shared" si="438"/>
        <v>0</v>
      </c>
      <c r="EC193" s="33">
        <f t="shared" si="438"/>
        <v>0</v>
      </c>
      <c r="ED193" s="33">
        <f t="shared" si="438"/>
        <v>0</v>
      </c>
      <c r="EE193" s="33">
        <f t="shared" si="438"/>
        <v>0</v>
      </c>
      <c r="EF193" s="33">
        <f t="shared" si="438"/>
        <v>0</v>
      </c>
      <c r="EG193" s="33">
        <f t="shared" si="438"/>
        <v>0</v>
      </c>
      <c r="EH193" s="33">
        <f t="shared" si="438"/>
        <v>0</v>
      </c>
      <c r="EI193" s="33">
        <f t="shared" si="438"/>
        <v>0</v>
      </c>
      <c r="EJ193" s="3"/>
      <c r="EK193" s="3"/>
    </row>
    <row r="194" spans="1:14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2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</row>
    <row r="195" spans="1:141" x14ac:dyDescent="0.25">
      <c r="A195" s="3"/>
      <c r="B195" s="3"/>
      <c r="C195" s="3"/>
      <c r="D195" s="3"/>
      <c r="E195" s="3"/>
      <c r="F195" s="10" t="str">
        <f>KPI!$F$189</f>
        <v>Кредитный портфель на конец периода</v>
      </c>
      <c r="G195" s="3"/>
      <c r="H195" s="3"/>
      <c r="I195" s="3"/>
      <c r="J195" s="5" t="str">
        <f>IF($F195="","",INDEX(KPI!$I$11:$I$275,SUMIFS(KPI!$E$11:$E$275,KPI!$F$11:$F$275,$F195)))</f>
        <v>тыс.руб.</v>
      </c>
      <c r="K195" s="3"/>
      <c r="L195" s="3"/>
      <c r="M195" s="3"/>
      <c r="N195" s="3"/>
      <c r="O195" s="3"/>
      <c r="P195" s="3"/>
      <c r="Q195" s="12"/>
      <c r="R195" s="3"/>
      <c r="S195" s="33">
        <v>0</v>
      </c>
      <c r="T195" s="33">
        <f>SUM(T193:T193)</f>
        <v>449.09677419354841</v>
      </c>
      <c r="U195" s="33">
        <f>U187+U193</f>
        <v>1640.2365591397847</v>
      </c>
      <c r="V195" s="33">
        <f>V187+V193</f>
        <v>0</v>
      </c>
      <c r="W195" s="33">
        <f t="shared" ref="W195:AA195" si="439">W187+W193</f>
        <v>0</v>
      </c>
      <c r="X195" s="33">
        <f t="shared" si="439"/>
        <v>0</v>
      </c>
      <c r="Y195" s="33">
        <f t="shared" si="439"/>
        <v>5456.4990842477027</v>
      </c>
      <c r="Z195" s="33">
        <f t="shared" si="439"/>
        <v>5978.496833735795</v>
      </c>
      <c r="AA195" s="33">
        <f t="shared" si="439"/>
        <v>9539.5685731486974</v>
      </c>
      <c r="AB195" s="33">
        <f t="shared" ref="AB195:CM195" si="440">AB187+AB193</f>
        <v>9539.5685731486974</v>
      </c>
      <c r="AC195" s="33">
        <f t="shared" si="440"/>
        <v>12916.212451437339</v>
      </c>
      <c r="AD195" s="33">
        <f t="shared" si="440"/>
        <v>12123.423649023756</v>
      </c>
      <c r="AE195" s="33">
        <f t="shared" si="440"/>
        <v>20966.128110419824</v>
      </c>
      <c r="AF195" s="33">
        <f t="shared" si="440"/>
        <v>20229.167472876798</v>
      </c>
      <c r="AG195" s="33">
        <f t="shared" si="440"/>
        <v>38530.199673029623</v>
      </c>
      <c r="AH195" s="33">
        <f t="shared" si="440"/>
        <v>36814.564770710909</v>
      </c>
      <c r="AI195" s="33">
        <f t="shared" si="440"/>
        <v>38812.166389429141</v>
      </c>
      <c r="AJ195" s="33">
        <f t="shared" si="440"/>
        <v>38812.166389429141</v>
      </c>
      <c r="AK195" s="33">
        <f t="shared" si="440"/>
        <v>42219.134043060054</v>
      </c>
      <c r="AL195" s="33">
        <f t="shared" si="440"/>
        <v>48261.067281681382</v>
      </c>
      <c r="AM195" s="33">
        <f t="shared" si="440"/>
        <v>51077.732537088181</v>
      </c>
      <c r="AN195" s="33">
        <f t="shared" si="440"/>
        <v>63075.884193350474</v>
      </c>
      <c r="AO195" s="33">
        <f t="shared" si="440"/>
        <v>67738.699765599988</v>
      </c>
      <c r="AP195" s="33">
        <f t="shared" si="440"/>
        <v>65415.928851341392</v>
      </c>
      <c r="AQ195" s="33">
        <f t="shared" si="440"/>
        <v>96961.667013835802</v>
      </c>
      <c r="AR195" s="33">
        <f t="shared" si="440"/>
        <v>91770.491922443238</v>
      </c>
      <c r="AS195" s="33">
        <f t="shared" si="440"/>
        <v>100352.16175711593</v>
      </c>
      <c r="AT195" s="33">
        <f t="shared" si="440"/>
        <v>90492.733883985202</v>
      </c>
      <c r="AU195" s="33">
        <f t="shared" si="440"/>
        <v>112077.81484062473</v>
      </c>
      <c r="AV195" s="33">
        <f t="shared" si="440"/>
        <v>109165.80401604538</v>
      </c>
      <c r="AW195" s="33">
        <f t="shared" si="440"/>
        <v>108524.1633583275</v>
      </c>
      <c r="AX195" s="33">
        <f t="shared" si="440"/>
        <v>104180.80483164458</v>
      </c>
      <c r="AY195" s="33">
        <f t="shared" si="440"/>
        <v>110866.52379944798</v>
      </c>
      <c r="AZ195" s="33">
        <f t="shared" si="440"/>
        <v>136285.06684625914</v>
      </c>
      <c r="BA195" s="33">
        <f t="shared" si="440"/>
        <v>141175.87128392654</v>
      </c>
      <c r="BB195" s="33">
        <f t="shared" si="440"/>
        <v>122067.66847426987</v>
      </c>
      <c r="BC195" s="33">
        <f t="shared" si="440"/>
        <v>183923.81522224861</v>
      </c>
      <c r="BD195" s="33">
        <f t="shared" si="440"/>
        <v>169923.53325551175</v>
      </c>
      <c r="BE195" s="33">
        <f t="shared" si="440"/>
        <v>154137.20158584038</v>
      </c>
      <c r="BF195" s="33">
        <f t="shared" si="440"/>
        <v>128166.38130789496</v>
      </c>
      <c r="BG195" s="33">
        <f t="shared" si="440"/>
        <v>167814.65341438557</v>
      </c>
      <c r="BH195" s="33">
        <f t="shared" si="440"/>
        <v>157870.14778225683</v>
      </c>
      <c r="BI195" s="33">
        <f t="shared" si="440"/>
        <v>148449.28335949572</v>
      </c>
      <c r="BJ195" s="33">
        <f t="shared" si="440"/>
        <v>154199.1283972348</v>
      </c>
      <c r="BK195" s="33">
        <f t="shared" si="440"/>
        <v>141436.31369922543</v>
      </c>
      <c r="BL195" s="33">
        <f t="shared" si="440"/>
        <v>190483.00182927365</v>
      </c>
      <c r="BM195" s="33">
        <f t="shared" si="440"/>
        <v>157912.88081784919</v>
      </c>
      <c r="BN195" s="33">
        <f t="shared" si="440"/>
        <v>251548.20223066886</v>
      </c>
      <c r="BO195" s="33">
        <f t="shared" si="440"/>
        <v>216723.02295029486</v>
      </c>
      <c r="BP195" s="33">
        <f t="shared" si="440"/>
        <v>180637.82348742473</v>
      </c>
      <c r="BQ195" s="33">
        <f t="shared" si="440"/>
        <v>135507.01894691866</v>
      </c>
      <c r="BR195" s="33">
        <f t="shared" si="440"/>
        <v>219516.18577607206</v>
      </c>
      <c r="BS195" s="33">
        <f t="shared" si="440"/>
        <v>170084.33426588107</v>
      </c>
      <c r="BT195" s="33">
        <f t="shared" si="440"/>
        <v>202038.50805900065</v>
      </c>
      <c r="BU195" s="33">
        <f t="shared" si="440"/>
        <v>176663.72423672458</v>
      </c>
      <c r="BV195" s="33">
        <f t="shared" si="440"/>
        <v>191795.68877750824</v>
      </c>
      <c r="BW195" s="33">
        <f t="shared" si="440"/>
        <v>153223.26029305015</v>
      </c>
      <c r="BX195" s="33">
        <f t="shared" si="440"/>
        <v>210785.57234958914</v>
      </c>
      <c r="BY195" s="33">
        <f t="shared" si="440"/>
        <v>121333.02205433439</v>
      </c>
      <c r="BZ195" s="33">
        <f t="shared" si="440"/>
        <v>239698.765854097</v>
      </c>
      <c r="CA195" s="33">
        <f t="shared" si="440"/>
        <v>158375.56265308801</v>
      </c>
      <c r="CB195" s="33">
        <f t="shared" si="440"/>
        <v>130794.37634165274</v>
      </c>
      <c r="CC195" s="33">
        <f t="shared" si="440"/>
        <v>64092.314933258065</v>
      </c>
      <c r="CD195" s="33">
        <f t="shared" si="440"/>
        <v>325219.35074087739</v>
      </c>
      <c r="CE195" s="33">
        <f t="shared" si="440"/>
        <v>252985.12558458454</v>
      </c>
      <c r="CF195" s="33">
        <f t="shared" si="440"/>
        <v>220715.97449768885</v>
      </c>
      <c r="CG195" s="33">
        <f t="shared" si="440"/>
        <v>181302.96333721725</v>
      </c>
      <c r="CH195" s="33">
        <f t="shared" si="440"/>
        <v>138213.89520398213</v>
      </c>
      <c r="CI195" s="33">
        <f t="shared" si="440"/>
        <v>84978.954329995933</v>
      </c>
      <c r="CJ195" s="33">
        <f t="shared" si="440"/>
        <v>239002.93541383327</v>
      </c>
      <c r="CK195" s="33">
        <f t="shared" si="440"/>
        <v>98039.143119736458</v>
      </c>
      <c r="CL195" s="33">
        <f t="shared" si="440"/>
        <v>194437.47617260908</v>
      </c>
      <c r="CM195" s="33">
        <f t="shared" si="440"/>
        <v>228620.49949432357</v>
      </c>
      <c r="CN195" s="33">
        <f t="shared" ref="CN195:EI195" si="441">CN187+CN193</f>
        <v>180064.45148711908</v>
      </c>
      <c r="CO195" s="33">
        <f t="shared" si="441"/>
        <v>96033.620428429669</v>
      </c>
      <c r="CP195" s="33">
        <f t="shared" si="441"/>
        <v>119767.62624410097</v>
      </c>
      <c r="CQ195" s="33">
        <f t="shared" si="441"/>
        <v>22760.85863787659</v>
      </c>
      <c r="CR195" s="33">
        <f t="shared" si="441"/>
        <v>183627.59835710068</v>
      </c>
      <c r="CS195" s="33">
        <f t="shared" si="441"/>
        <v>133059.02530364989</v>
      </c>
      <c r="CT195" s="33">
        <f t="shared" si="441"/>
        <v>71494.824451099266</v>
      </c>
      <c r="CU195" s="33">
        <f t="shared" si="441"/>
        <v>655.20798056924832</v>
      </c>
      <c r="CV195" s="33">
        <f t="shared" si="441"/>
        <v>74382.646168807143</v>
      </c>
      <c r="CW195" s="33">
        <f t="shared" si="441"/>
        <v>0</v>
      </c>
      <c r="CX195" s="33">
        <f t="shared" si="441"/>
        <v>136248.12830308505</v>
      </c>
      <c r="CY195" s="33">
        <f t="shared" si="441"/>
        <v>0</v>
      </c>
      <c r="CZ195" s="33">
        <f t="shared" si="441"/>
        <v>0</v>
      </c>
      <c r="DA195" s="33">
        <f t="shared" si="441"/>
        <v>0</v>
      </c>
      <c r="DB195" s="33">
        <f t="shared" si="441"/>
        <v>83954.425687799725</v>
      </c>
      <c r="DC195" s="33">
        <f t="shared" si="441"/>
        <v>0</v>
      </c>
      <c r="DD195" s="33">
        <f t="shared" si="441"/>
        <v>0</v>
      </c>
      <c r="DE195" s="33">
        <f t="shared" si="441"/>
        <v>0</v>
      </c>
      <c r="DF195" s="33">
        <f t="shared" si="441"/>
        <v>0</v>
      </c>
      <c r="DG195" s="33">
        <f t="shared" si="441"/>
        <v>0</v>
      </c>
      <c r="DH195" s="33">
        <f t="shared" si="441"/>
        <v>0</v>
      </c>
      <c r="DI195" s="33">
        <f t="shared" si="441"/>
        <v>0</v>
      </c>
      <c r="DJ195" s="33">
        <f t="shared" si="441"/>
        <v>0</v>
      </c>
      <c r="DK195" s="33">
        <f t="shared" si="441"/>
        <v>0</v>
      </c>
      <c r="DL195" s="33">
        <f t="shared" si="441"/>
        <v>0</v>
      </c>
      <c r="DM195" s="33">
        <f t="shared" si="441"/>
        <v>0</v>
      </c>
      <c r="DN195" s="33">
        <f t="shared" si="441"/>
        <v>0</v>
      </c>
      <c r="DO195" s="33">
        <f t="shared" si="441"/>
        <v>0</v>
      </c>
      <c r="DP195" s="33">
        <f t="shared" si="441"/>
        <v>0</v>
      </c>
      <c r="DQ195" s="33">
        <f t="shared" si="441"/>
        <v>0</v>
      </c>
      <c r="DR195" s="33">
        <f t="shared" si="441"/>
        <v>0</v>
      </c>
      <c r="DS195" s="33">
        <f t="shared" si="441"/>
        <v>0</v>
      </c>
      <c r="DT195" s="33">
        <f t="shared" si="441"/>
        <v>0</v>
      </c>
      <c r="DU195" s="33">
        <f t="shared" si="441"/>
        <v>0</v>
      </c>
      <c r="DV195" s="33">
        <f t="shared" si="441"/>
        <v>0</v>
      </c>
      <c r="DW195" s="33">
        <f t="shared" si="441"/>
        <v>0</v>
      </c>
      <c r="DX195" s="33">
        <f t="shared" si="441"/>
        <v>0</v>
      </c>
      <c r="DY195" s="33">
        <f t="shared" si="441"/>
        <v>0</v>
      </c>
      <c r="DZ195" s="33">
        <f t="shared" si="441"/>
        <v>0</v>
      </c>
      <c r="EA195" s="33">
        <f t="shared" si="441"/>
        <v>0</v>
      </c>
      <c r="EB195" s="33">
        <f t="shared" si="441"/>
        <v>0</v>
      </c>
      <c r="EC195" s="33">
        <f t="shared" si="441"/>
        <v>0</v>
      </c>
      <c r="ED195" s="33">
        <f t="shared" si="441"/>
        <v>0</v>
      </c>
      <c r="EE195" s="33">
        <f t="shared" si="441"/>
        <v>0</v>
      </c>
      <c r="EF195" s="33">
        <f t="shared" si="441"/>
        <v>0</v>
      </c>
      <c r="EG195" s="33">
        <f t="shared" si="441"/>
        <v>0</v>
      </c>
      <c r="EH195" s="33">
        <f t="shared" si="441"/>
        <v>0</v>
      </c>
      <c r="EI195" s="33">
        <f t="shared" si="441"/>
        <v>0</v>
      </c>
      <c r="EJ195" s="3"/>
      <c r="EK195" s="3"/>
    </row>
    <row r="196" spans="1:14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2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</row>
    <row r="197" spans="1:141" x14ac:dyDescent="0.25">
      <c r="A197" s="3"/>
      <c r="B197" s="3"/>
      <c r="C197" s="3"/>
      <c r="D197" s="3"/>
      <c r="E197" s="3"/>
      <c r="F197" s="10" t="str">
        <f>KPI!$F$190</f>
        <v>Начислено процентов по овердрафту за период</v>
      </c>
      <c r="G197" s="3"/>
      <c r="H197" s="3"/>
      <c r="I197" s="3"/>
      <c r="J197" s="5" t="str">
        <f>IF($F197="","",INDEX(KPI!$I$11:$I$275,SUMIFS(KPI!$E$11:$E$275,KPI!$F$11:$F$275,$F197)))</f>
        <v>тыс.руб.</v>
      </c>
      <c r="K197" s="3"/>
      <c r="L197" s="3"/>
      <c r="M197" s="3"/>
      <c r="N197" s="3"/>
      <c r="O197" s="3"/>
      <c r="P197" s="3"/>
      <c r="Q197" s="12">
        <f>SUM(S197:EJ197)</f>
        <v>107416.9627456286</v>
      </c>
      <c r="R197" s="3"/>
      <c r="S197" s="33"/>
      <c r="T197" s="33">
        <f>(S195+T189)*SUMIFS(условия!$210:$210,условия!$8:$8,"&lt;="&amp;T$9,условия!$9:$9,"&gt;="&amp;T$9)/12</f>
        <v>5.6137096774193544</v>
      </c>
      <c r="U197" s="33">
        <f>(T195+U189)*SUMIFS(условия!$210:$210,условия!$8:$8,"&lt;="&amp;U$9,условия!$9:$9,"&gt;="&amp;U$9)/12</f>
        <v>20.502956989247309</v>
      </c>
      <c r="V197" s="33">
        <f>(U195+V189)*SUMIFS(условия!$210:$210,условия!$8:$8,"&lt;="&amp;V$9,условия!$9:$9,"&gt;="&amp;V$9)/12</f>
        <v>20.502956989247309</v>
      </c>
      <c r="W197" s="33">
        <f>(V195+W189)*SUMIFS(условия!$210:$210,условия!$8:$8,"&lt;="&amp;W$9,условия!$9:$9,"&gt;="&amp;W$9)/12</f>
        <v>0</v>
      </c>
      <c r="X197" s="33">
        <f>(W195+X189)*SUMIFS(условия!$210:$210,условия!$8:$8,"&lt;="&amp;X$9,условия!$9:$9,"&gt;="&amp;X$9)/12</f>
        <v>0</v>
      </c>
      <c r="Y197" s="33">
        <f>(X195+Y189)*SUMIFS(условия!$210:$210,условия!$8:$8,"&lt;="&amp;Y$9,условия!$9:$9,"&gt;="&amp;Y$9)/12</f>
        <v>68.206238553096284</v>
      </c>
      <c r="Z197" s="33">
        <f>(Y195+Z189)*SUMIFS(условия!$210:$210,условия!$8:$8,"&lt;="&amp;Z$9,условия!$9:$9,"&gt;="&amp;Z$9)/12</f>
        <v>74.73121042169744</v>
      </c>
      <c r="AA197" s="33">
        <f>(Z195+AA189)*SUMIFS(условия!$210:$210,условия!$8:$8,"&lt;="&amp;AA$9,условия!$9:$9,"&gt;="&amp;AA$9)/12</f>
        <v>119.24460716435873</v>
      </c>
      <c r="AB197" s="33">
        <f>(AA195+AB189)*SUMIFS(условия!$210:$210,условия!$8:$8,"&lt;="&amp;AB$9,условия!$9:$9,"&gt;="&amp;AB$9)/12</f>
        <v>119.24460716435873</v>
      </c>
      <c r="AC197" s="33">
        <f>(AB195+AC189)*SUMIFS(условия!$210:$210,условия!$8:$8,"&lt;="&amp;AC$9,условия!$9:$9,"&gt;="&amp;AC$9)/12</f>
        <v>161.45265564296673</v>
      </c>
      <c r="AD197" s="33">
        <f>(AC195+AD189)*SUMIFS(условия!$210:$210,условия!$8:$8,"&lt;="&amp;AD$9,условия!$9:$9,"&gt;="&amp;AD$9)/12</f>
        <v>161.45265564296673</v>
      </c>
      <c r="AE197" s="33">
        <f>(AD195+AE189)*SUMIFS(условия!$210:$210,условия!$8:$8,"&lt;="&amp;AE$9,условия!$9:$9,"&gt;="&amp;AE$9)/12</f>
        <v>262.07660138024778</v>
      </c>
      <c r="AF197" s="33">
        <f>(AE195+AF189)*SUMIFS(условия!$210:$210,условия!$8:$8,"&lt;="&amp;AF$9,условия!$9:$9,"&gt;="&amp;AF$9)/12</f>
        <v>262.07660138024778</v>
      </c>
      <c r="AG197" s="33">
        <f>(AF195+AG189)*SUMIFS(условия!$210:$210,условия!$8:$8,"&lt;="&amp;AG$9,условия!$9:$9,"&gt;="&amp;AG$9)/12</f>
        <v>481.62749591287024</v>
      </c>
      <c r="AH197" s="33">
        <f>(AG195+AH189)*SUMIFS(условия!$210:$210,условия!$8:$8,"&lt;="&amp;AH$9,условия!$9:$9,"&gt;="&amp;AH$9)/12</f>
        <v>481.62749591287024</v>
      </c>
      <c r="AI197" s="33">
        <f>(AH195+AI189)*SUMIFS(условия!$210:$210,условия!$8:$8,"&lt;="&amp;AI$9,условия!$9:$9,"&gt;="&amp;AI$9)/12</f>
        <v>485.1520798678643</v>
      </c>
      <c r="AJ197" s="33">
        <f>(AI195+AJ189)*SUMIFS(условия!$210:$210,условия!$8:$8,"&lt;="&amp;AJ$9,условия!$9:$9,"&gt;="&amp;AJ$9)/12</f>
        <v>485.1520798678643</v>
      </c>
      <c r="AK197" s="33">
        <f>(AJ195+AK189)*SUMIFS(условия!$210:$210,условия!$8:$8,"&lt;="&amp;AK$9,условия!$9:$9,"&gt;="&amp;AK$9)/12</f>
        <v>527.73917553825061</v>
      </c>
      <c r="AL197" s="33">
        <f>(AK195+AL189)*SUMIFS(условия!$210:$210,условия!$8:$8,"&lt;="&amp;AL$9,условия!$9:$9,"&gt;="&amp;AL$9)/12</f>
        <v>603.26334102101725</v>
      </c>
      <c r="AM197" s="33">
        <f>(AL195+AM189)*SUMIFS(условия!$210:$210,условия!$8:$8,"&lt;="&amp;AM$9,условия!$9:$9,"&gt;="&amp;AM$9)/12</f>
        <v>638.47165671360221</v>
      </c>
      <c r="AN197" s="33">
        <f>(AM195+AN189)*SUMIFS(условия!$210:$210,условия!$8:$8,"&lt;="&amp;AN$9,условия!$9:$9,"&gt;="&amp;AN$9)/12</f>
        <v>788.44855241688083</v>
      </c>
      <c r="AO197" s="33">
        <f>(AN195+AO189)*SUMIFS(условия!$210:$210,условия!$8:$8,"&lt;="&amp;AO$9,условия!$9:$9,"&gt;="&amp;AO$9)/12</f>
        <v>846.73374706999982</v>
      </c>
      <c r="AP197" s="33">
        <f>(AO195+AP189)*SUMIFS(условия!$210:$210,условия!$8:$8,"&lt;="&amp;AP$9,условия!$9:$9,"&gt;="&amp;AP$9)/12</f>
        <v>846.73374706999982</v>
      </c>
      <c r="AQ197" s="33">
        <f>(AP195+AQ189)*SUMIFS(условия!$210:$210,условия!$8:$8,"&lt;="&amp;AQ$9,условия!$9:$9,"&gt;="&amp;AQ$9)/12</f>
        <v>1212.0208376729474</v>
      </c>
      <c r="AR197" s="33">
        <f>(AQ195+AR189)*SUMIFS(условия!$210:$210,условия!$8:$8,"&lt;="&amp;AR$9,условия!$9:$9,"&gt;="&amp;AR$9)/12</f>
        <v>969.61667013835802</v>
      </c>
      <c r="AS197" s="33">
        <f>(AR195+AS189)*SUMIFS(условия!$210:$210,условия!$8:$8,"&lt;="&amp;AS$9,условия!$9:$9,"&gt;="&amp;AS$9)/12</f>
        <v>1003.5216175711593</v>
      </c>
      <c r="AT197" s="33">
        <f>(AS195+AT189)*SUMIFS(условия!$210:$210,условия!$8:$8,"&lt;="&amp;AT$9,условия!$9:$9,"&gt;="&amp;AT$9)/12</f>
        <v>1003.5216175711593</v>
      </c>
      <c r="AU197" s="33">
        <f>(AT195+AU189)*SUMIFS(условия!$210:$210,условия!$8:$8,"&lt;="&amp;AU$9,условия!$9:$9,"&gt;="&amp;AU$9)/12</f>
        <v>1120.7781484062473</v>
      </c>
      <c r="AV197" s="33">
        <f>(AU195+AV189)*SUMIFS(условия!$210:$210,условия!$8:$8,"&lt;="&amp;AV$9,условия!$9:$9,"&gt;="&amp;AV$9)/12</f>
        <v>1120.7781484062473</v>
      </c>
      <c r="AW197" s="33">
        <f>(AV195+AW189)*SUMIFS(условия!$210:$210,условия!$8:$8,"&lt;="&amp;AW$9,условия!$9:$9,"&gt;="&amp;AW$9)/12</f>
        <v>1091.6580401604538</v>
      </c>
      <c r="AX197" s="33">
        <f>(AW195+AX189)*SUMIFS(условия!$210:$210,условия!$8:$8,"&lt;="&amp;AX$9,условия!$9:$9,"&gt;="&amp;AX$9)/12</f>
        <v>1085.241633583275</v>
      </c>
      <c r="AY197" s="33">
        <f>(AX195+AY189)*SUMIFS(условия!$210:$210,условия!$8:$8,"&lt;="&amp;AY$9,условия!$9:$9,"&gt;="&amp;AY$9)/12</f>
        <v>1108.6652379944796</v>
      </c>
      <c r="AZ197" s="33">
        <f>(AY195+AZ189)*SUMIFS(условия!$210:$210,условия!$8:$8,"&lt;="&amp;AZ$9,условия!$9:$9,"&gt;="&amp;AZ$9)/12</f>
        <v>1362.8506684625913</v>
      </c>
      <c r="BA197" s="33">
        <f>(AZ195+BA189)*SUMIFS(условия!$210:$210,условия!$8:$8,"&lt;="&amp;BA$9,условия!$9:$9,"&gt;="&amp;BA$9)/12</f>
        <v>1411.7587128392652</v>
      </c>
      <c r="BB197" s="33">
        <f>(BA195+BB189)*SUMIFS(условия!$210:$210,условия!$8:$8,"&lt;="&amp;BB$9,условия!$9:$9,"&gt;="&amp;BB$9)/12</f>
        <v>1411.7587128392652</v>
      </c>
      <c r="BC197" s="33">
        <f>(BB195+BC189)*SUMIFS(условия!$210:$210,условия!$8:$8,"&lt;="&amp;BC$9,условия!$9:$9,"&gt;="&amp;BC$9)/12</f>
        <v>1839.238152222486</v>
      </c>
      <c r="BD197" s="33">
        <f>(BC195+BD189)*SUMIFS(условия!$210:$210,условия!$8:$8,"&lt;="&amp;BD$9,условия!$9:$9,"&gt;="&amp;BD$9)/12</f>
        <v>1839.238152222486</v>
      </c>
      <c r="BE197" s="33">
        <f>(BD195+BE189)*SUMIFS(условия!$210:$210,условия!$8:$8,"&lt;="&amp;BE$9,условия!$9:$9,"&gt;="&amp;BE$9)/12</f>
        <v>1699.2353325551176</v>
      </c>
      <c r="BF197" s="33">
        <f>(BE195+BF189)*SUMIFS(условия!$210:$210,условия!$8:$8,"&lt;="&amp;BF$9,условия!$9:$9,"&gt;="&amp;BF$9)/12</f>
        <v>1541.3720158584038</v>
      </c>
      <c r="BG197" s="33">
        <f>(BF195+BG189)*SUMIFS(условия!$210:$210,условия!$8:$8,"&lt;="&amp;BG$9,условия!$9:$9,"&gt;="&amp;BG$9)/12</f>
        <v>1678.1465341438554</v>
      </c>
      <c r="BH197" s="33">
        <f>(BG195+BH189)*SUMIFS(условия!$210:$210,условия!$8:$8,"&lt;="&amp;BH$9,условия!$9:$9,"&gt;="&amp;BH$9)/12</f>
        <v>1678.1465341438554</v>
      </c>
      <c r="BI197" s="33">
        <f>(BH195+BI189)*SUMIFS(условия!$210:$210,условия!$8:$8,"&lt;="&amp;BI$9,условия!$9:$9,"&gt;="&amp;BI$9)/12</f>
        <v>1578.7014778225682</v>
      </c>
      <c r="BJ197" s="33">
        <f>(BI195+BJ189)*SUMIFS(условия!$210:$210,условия!$8:$8,"&lt;="&amp;BJ$9,условия!$9:$9,"&gt;="&amp;BJ$9)/12</f>
        <v>1541.9912839723481</v>
      </c>
      <c r="BK197" s="33">
        <f>(BJ195+BK189)*SUMIFS(условия!$210:$210,условия!$8:$8,"&lt;="&amp;BK$9,условия!$9:$9,"&gt;="&amp;BK$9)/12</f>
        <v>1541.9912839723481</v>
      </c>
      <c r="BL197" s="33">
        <f>(BK195+BL189)*SUMIFS(условия!$210:$210,условия!$8:$8,"&lt;="&amp;BL$9,условия!$9:$9,"&gt;="&amp;BL$9)/12</f>
        <v>1904.8300182927362</v>
      </c>
      <c r="BM197" s="33">
        <f>(BL195+BM189)*SUMIFS(условия!$210:$210,условия!$8:$8,"&lt;="&amp;BM$9,условия!$9:$9,"&gt;="&amp;BM$9)/12</f>
        <v>1904.8300182927362</v>
      </c>
      <c r="BN197" s="33">
        <f>(BM195+BN189)*SUMIFS(условия!$210:$210,условия!$8:$8,"&lt;="&amp;BN$9,условия!$9:$9,"&gt;="&amp;BN$9)/12</f>
        <v>2515.4820223066886</v>
      </c>
      <c r="BO197" s="33">
        <f>(BN195+BO189)*SUMIFS(условия!$210:$210,условия!$8:$8,"&lt;="&amp;BO$9,условия!$9:$9,"&gt;="&amp;BO$9)/12</f>
        <v>2515.4820223066886</v>
      </c>
      <c r="BP197" s="33">
        <f>(BO195+BP189)*SUMIFS(условия!$210:$210,условия!$8:$8,"&lt;="&amp;BP$9,условия!$9:$9,"&gt;="&amp;BP$9)/12</f>
        <v>2167.2302295029485</v>
      </c>
      <c r="BQ197" s="33">
        <f>(BP195+BQ189)*SUMIFS(условия!$210:$210,условия!$8:$8,"&lt;="&amp;BQ$9,условия!$9:$9,"&gt;="&amp;BQ$9)/12</f>
        <v>1806.3782348742473</v>
      </c>
      <c r="BR197" s="33">
        <f>(BQ195+BR189)*SUMIFS(условия!$210:$210,условия!$8:$8,"&lt;="&amp;BR$9,условия!$9:$9,"&gt;="&amp;BR$9)/12</f>
        <v>2195.1618577607205</v>
      </c>
      <c r="BS197" s="33">
        <f>(BR195+BS189)*SUMIFS(условия!$210:$210,условия!$8:$8,"&lt;="&amp;BS$9,условия!$9:$9,"&gt;="&amp;BS$9)/12</f>
        <v>2195.1618577607205</v>
      </c>
      <c r="BT197" s="33">
        <f>(BS195+BT189)*SUMIFS(условия!$210:$210,условия!$8:$8,"&lt;="&amp;BT$9,условия!$9:$9,"&gt;="&amp;BT$9)/12</f>
        <v>2020.3850805900065</v>
      </c>
      <c r="BU197" s="33">
        <f>(BT195+BU189)*SUMIFS(условия!$210:$210,условия!$8:$8,"&lt;="&amp;BU$9,условия!$9:$9,"&gt;="&amp;BU$9)/12</f>
        <v>2020.3850805900065</v>
      </c>
      <c r="BV197" s="33">
        <f>(BU195+BV189)*SUMIFS(условия!$210:$210,условия!$8:$8,"&lt;="&amp;BV$9,условия!$9:$9,"&gt;="&amp;BV$9)/12</f>
        <v>1917.9568877750824</v>
      </c>
      <c r="BW197" s="33">
        <f>(BV195+BW189)*SUMIFS(условия!$210:$210,условия!$8:$8,"&lt;="&amp;BW$9,условия!$9:$9,"&gt;="&amp;BW$9)/12</f>
        <v>1917.9568877750824</v>
      </c>
      <c r="BX197" s="33">
        <f>(BW195+BX189)*SUMIFS(условия!$210:$210,условия!$8:$8,"&lt;="&amp;BX$9,условия!$9:$9,"&gt;="&amp;BX$9)/12</f>
        <v>2107.8557234958912</v>
      </c>
      <c r="BY197" s="33">
        <f>(BX195+BY189)*SUMIFS(условия!$210:$210,условия!$8:$8,"&lt;="&amp;BY$9,условия!$9:$9,"&gt;="&amp;BY$9)/12</f>
        <v>2107.8557234958912</v>
      </c>
      <c r="BZ197" s="33">
        <f>(BY195+BZ189)*SUMIFS(условия!$210:$210,условия!$8:$8,"&lt;="&amp;BZ$9,условия!$9:$9,"&gt;="&amp;BZ$9)/12</f>
        <v>2396.9876585409697</v>
      </c>
      <c r="CA197" s="33">
        <f>(BZ195+CA189)*SUMIFS(условия!$210:$210,условия!$8:$8,"&lt;="&amp;CA$9,условия!$9:$9,"&gt;="&amp;CA$9)/12</f>
        <v>2396.9876585409697</v>
      </c>
      <c r="CB197" s="33">
        <f>(CA195+CB189)*SUMIFS(условия!$210:$210,условия!$8:$8,"&lt;="&amp;CB$9,условия!$9:$9,"&gt;="&amp;CB$9)/12</f>
        <v>1319.7963554424002</v>
      </c>
      <c r="CC197" s="33">
        <f>(CB195+CC189)*SUMIFS(условия!$210:$210,условия!$8:$8,"&lt;="&amp;CC$9,условия!$9:$9,"&gt;="&amp;CC$9)/12</f>
        <v>1089.9531361804395</v>
      </c>
      <c r="CD197" s="33">
        <f>(CC195+CD189)*SUMIFS(условия!$210:$210,условия!$8:$8,"&lt;="&amp;CD$9,условия!$9:$9,"&gt;="&amp;CD$9)/12</f>
        <v>2710.1612561739785</v>
      </c>
      <c r="CE197" s="33">
        <f>(CD195+CE189)*SUMIFS(условия!$210:$210,условия!$8:$8,"&lt;="&amp;CE$9,условия!$9:$9,"&gt;="&amp;CE$9)/12</f>
        <v>2710.1612561739785</v>
      </c>
      <c r="CF197" s="33">
        <f>(CE195+CF189)*SUMIFS(условия!$210:$210,условия!$8:$8,"&lt;="&amp;CF$9,условия!$9:$9,"&gt;="&amp;CF$9)/12</f>
        <v>2108.2093798715382</v>
      </c>
      <c r="CG197" s="33">
        <f>(CF195+CG189)*SUMIFS(условия!$210:$210,условия!$8:$8,"&lt;="&amp;CG$9,условия!$9:$9,"&gt;="&amp;CG$9)/12</f>
        <v>1839.2997874807406</v>
      </c>
      <c r="CH197" s="33">
        <f>(CG195+CH189)*SUMIFS(условия!$210:$210,условия!$8:$8,"&lt;="&amp;CH$9,условия!$9:$9,"&gt;="&amp;CH$9)/12</f>
        <v>1510.8580278101438</v>
      </c>
      <c r="CI197" s="33">
        <f>(CH195+CI189)*SUMIFS(условия!$210:$210,условия!$8:$8,"&lt;="&amp;CI$9,условия!$9:$9,"&gt;="&amp;CI$9)/12</f>
        <v>1151.7824600331844</v>
      </c>
      <c r="CJ197" s="33">
        <f>(CI195+CJ189)*SUMIFS(условия!$210:$210,условия!$8:$8,"&lt;="&amp;CJ$9,условия!$9:$9,"&gt;="&amp;CJ$9)/12</f>
        <v>1991.6911284486107</v>
      </c>
      <c r="CK197" s="33">
        <f>(CJ195+CK189)*SUMIFS(условия!$210:$210,условия!$8:$8,"&lt;="&amp;CK$9,условия!$9:$9,"&gt;="&amp;CK$9)/12</f>
        <v>1991.6911284486107</v>
      </c>
      <c r="CL197" s="33">
        <f>(CK195+CL189)*SUMIFS(условия!$210:$210,условия!$8:$8,"&lt;="&amp;CL$9,условия!$9:$9,"&gt;="&amp;CL$9)/12</f>
        <v>1620.3123014384091</v>
      </c>
      <c r="CM197" s="33">
        <f>(CL195+CM189)*SUMIFS(условия!$210:$210,условия!$8:$8,"&lt;="&amp;CM$9,условия!$9:$9,"&gt;="&amp;CM$9)/12</f>
        <v>1905.1708291193634</v>
      </c>
      <c r="CN197" s="33">
        <f>(CM195+CN189)*SUMIFS(условия!$210:$210,условия!$8:$8,"&lt;="&amp;CN$9,условия!$9:$9,"&gt;="&amp;CN$9)/12</f>
        <v>1905.1708291193634</v>
      </c>
      <c r="CO197" s="33">
        <f>(CN195+CO189)*SUMIFS(условия!$210:$210,условия!$8:$8,"&lt;="&amp;CO$9,условия!$9:$9,"&gt;="&amp;CO$9)/12</f>
        <v>1500.5370957259922</v>
      </c>
      <c r="CP197" s="33">
        <f>(CO195+CP189)*SUMIFS(условия!$210:$210,условия!$8:$8,"&lt;="&amp;CP$9,условия!$9:$9,"&gt;="&amp;CP$9)/12</f>
        <v>998.06355203417479</v>
      </c>
      <c r="CQ197" s="33">
        <f>(CP195+CQ189)*SUMIFS(условия!$210:$210,условия!$8:$8,"&lt;="&amp;CQ$9,условия!$9:$9,"&gt;="&amp;CQ$9)/12</f>
        <v>998.06355203417479</v>
      </c>
      <c r="CR197" s="33">
        <f>(CQ195+CR189)*SUMIFS(условия!$210:$210,условия!$8:$8,"&lt;="&amp;CR$9,условия!$9:$9,"&gt;="&amp;CR$9)/12</f>
        <v>1530.2299863091723</v>
      </c>
      <c r="CS197" s="33">
        <f>(CR195+CS189)*SUMIFS(условия!$210:$210,условия!$8:$8,"&lt;="&amp;CS$9,условия!$9:$9,"&gt;="&amp;CS$9)/12</f>
        <v>1530.2299863091723</v>
      </c>
      <c r="CT197" s="33">
        <f>(CS195+CT189)*SUMIFS(условия!$210:$210,условия!$8:$8,"&lt;="&amp;CT$9,условия!$9:$9,"&gt;="&amp;CT$9)/12</f>
        <v>1108.8252108637491</v>
      </c>
      <c r="CU197" s="33">
        <f>(CT195+CU189)*SUMIFS(условия!$210:$210,условия!$8:$8,"&lt;="&amp;CU$9,условия!$9:$9,"&gt;="&amp;CU$9)/12</f>
        <v>595.79020375916059</v>
      </c>
      <c r="CV197" s="33">
        <f>(CU195+CV189)*SUMIFS(условия!$210:$210,условия!$8:$8,"&lt;="&amp;CV$9,условия!$9:$9,"&gt;="&amp;CV$9)/12</f>
        <v>619.85538474005955</v>
      </c>
      <c r="CW197" s="33">
        <f>(CV195+CW189)*SUMIFS(условия!$210:$210,условия!$8:$8,"&lt;="&amp;CW$9,условия!$9:$9,"&gt;="&amp;CW$9)/12</f>
        <v>619.85538474005955</v>
      </c>
      <c r="CX197" s="33">
        <f>(CW195+CX189)*SUMIFS(условия!$210:$210,условия!$8:$8,"&lt;="&amp;CX$9,условия!$9:$9,"&gt;="&amp;CX$9)/12</f>
        <v>1135.4010691923754</v>
      </c>
      <c r="CY197" s="33">
        <f>(CX195+CY189)*SUMIFS(условия!$210:$210,условия!$8:$8,"&lt;="&amp;CY$9,условия!$9:$9,"&gt;="&amp;CY$9)/12</f>
        <v>1135.4010691923754</v>
      </c>
      <c r="CZ197" s="33">
        <f>(CY195+CZ189)*SUMIFS(условия!$210:$210,условия!$8:$8,"&lt;="&amp;CZ$9,условия!$9:$9,"&gt;="&amp;CZ$9)/12</f>
        <v>0</v>
      </c>
      <c r="DA197" s="33">
        <f>(CZ195+DA189)*SUMIFS(условия!$210:$210,условия!$8:$8,"&lt;="&amp;DA$9,условия!$9:$9,"&gt;="&amp;DA$9)/12</f>
        <v>0</v>
      </c>
      <c r="DB197" s="33">
        <f>(DA195+DB189)*SUMIFS(условия!$210:$210,условия!$8:$8,"&lt;="&amp;DB$9,условия!$9:$9,"&gt;="&amp;DB$9)/12</f>
        <v>699.62021406499764</v>
      </c>
      <c r="DC197" s="33">
        <f>(DB195+DC189)*SUMIFS(условия!$210:$210,условия!$8:$8,"&lt;="&amp;DC$9,условия!$9:$9,"&gt;="&amp;DC$9)/12</f>
        <v>699.62021406499764</v>
      </c>
      <c r="DD197" s="33">
        <f>(DC195+DD189)*SUMIFS(условия!$210:$210,условия!$8:$8,"&lt;="&amp;DD$9,условия!$9:$9,"&gt;="&amp;DD$9)/12</f>
        <v>0</v>
      </c>
      <c r="DE197" s="33">
        <f>(DD195+DE189)*SUMIFS(условия!$210:$210,условия!$8:$8,"&lt;="&amp;DE$9,условия!$9:$9,"&gt;="&amp;DE$9)/12</f>
        <v>0</v>
      </c>
      <c r="DF197" s="33">
        <f>(DE195+DF189)*SUMIFS(условия!$210:$210,условия!$8:$8,"&lt;="&amp;DF$9,условия!$9:$9,"&gt;="&amp;DF$9)/12</f>
        <v>0</v>
      </c>
      <c r="DG197" s="33">
        <f>(DF195+DG189)*SUMIFS(условия!$210:$210,условия!$8:$8,"&lt;="&amp;DG$9,условия!$9:$9,"&gt;="&amp;DG$9)/12</f>
        <v>0</v>
      </c>
      <c r="DH197" s="33">
        <f>(DG195+DH189)*SUMIFS(условия!$210:$210,условия!$8:$8,"&lt;="&amp;DH$9,условия!$9:$9,"&gt;="&amp;DH$9)/12</f>
        <v>0</v>
      </c>
      <c r="DI197" s="33">
        <f>(DH195+DI189)*SUMIFS(условия!$210:$210,условия!$8:$8,"&lt;="&amp;DI$9,условия!$9:$9,"&gt;="&amp;DI$9)/12</f>
        <v>0</v>
      </c>
      <c r="DJ197" s="33">
        <f>(DI195+DJ189)*SUMIFS(условия!$210:$210,условия!$8:$8,"&lt;="&amp;DJ$9,условия!$9:$9,"&gt;="&amp;DJ$9)/12</f>
        <v>0</v>
      </c>
      <c r="DK197" s="33">
        <f>(DJ195+DK189)*SUMIFS(условия!$210:$210,условия!$8:$8,"&lt;="&amp;DK$9,условия!$9:$9,"&gt;="&amp;DK$9)/12</f>
        <v>0</v>
      </c>
      <c r="DL197" s="33">
        <f>(DK195+DL189)*SUMIFS(условия!$210:$210,условия!$8:$8,"&lt;="&amp;DL$9,условия!$9:$9,"&gt;="&amp;DL$9)/12</f>
        <v>0</v>
      </c>
      <c r="DM197" s="33">
        <f>(DL195+DM189)*SUMIFS(условия!$210:$210,условия!$8:$8,"&lt;="&amp;DM$9,условия!$9:$9,"&gt;="&amp;DM$9)/12</f>
        <v>0</v>
      </c>
      <c r="DN197" s="33">
        <f>(DM195+DN189)*SUMIFS(условия!$210:$210,условия!$8:$8,"&lt;="&amp;DN$9,условия!$9:$9,"&gt;="&amp;DN$9)/12</f>
        <v>0</v>
      </c>
      <c r="DO197" s="33">
        <f>(DN195+DO189)*SUMIFS(условия!$210:$210,условия!$8:$8,"&lt;="&amp;DO$9,условия!$9:$9,"&gt;="&amp;DO$9)/12</f>
        <v>0</v>
      </c>
      <c r="DP197" s="33">
        <f>(DO195+DP189)*SUMIFS(условия!$210:$210,условия!$8:$8,"&lt;="&amp;DP$9,условия!$9:$9,"&gt;="&amp;DP$9)/12</f>
        <v>0</v>
      </c>
      <c r="DQ197" s="33">
        <f>(DP195+DQ189)*SUMIFS(условия!$210:$210,условия!$8:$8,"&lt;="&amp;DQ$9,условия!$9:$9,"&gt;="&amp;DQ$9)/12</f>
        <v>0</v>
      </c>
      <c r="DR197" s="33">
        <f>(DQ195+DR189)*SUMIFS(условия!$210:$210,условия!$8:$8,"&lt;="&amp;DR$9,условия!$9:$9,"&gt;="&amp;DR$9)/12</f>
        <v>0</v>
      </c>
      <c r="DS197" s="33">
        <f>(DR195+DS189)*SUMIFS(условия!$210:$210,условия!$8:$8,"&lt;="&amp;DS$9,условия!$9:$9,"&gt;="&amp;DS$9)/12</f>
        <v>0</v>
      </c>
      <c r="DT197" s="33">
        <f>(DS195+DT189)*SUMIFS(условия!$210:$210,условия!$8:$8,"&lt;="&amp;DT$9,условия!$9:$9,"&gt;="&amp;DT$9)/12</f>
        <v>0</v>
      </c>
      <c r="DU197" s="33">
        <f>(DT195+DU189)*SUMIFS(условия!$210:$210,условия!$8:$8,"&lt;="&amp;DU$9,условия!$9:$9,"&gt;="&amp;DU$9)/12</f>
        <v>0</v>
      </c>
      <c r="DV197" s="33">
        <f>(DU195+DV189)*SUMIFS(условия!$210:$210,условия!$8:$8,"&lt;="&amp;DV$9,условия!$9:$9,"&gt;="&amp;DV$9)/12</f>
        <v>0</v>
      </c>
      <c r="DW197" s="33">
        <f>(DV195+DW189)*SUMIFS(условия!$210:$210,условия!$8:$8,"&lt;="&amp;DW$9,условия!$9:$9,"&gt;="&amp;DW$9)/12</f>
        <v>0</v>
      </c>
      <c r="DX197" s="33">
        <f>(DW195+DX189)*SUMIFS(условия!$210:$210,условия!$8:$8,"&lt;="&amp;DX$9,условия!$9:$9,"&gt;="&amp;DX$9)/12</f>
        <v>0</v>
      </c>
      <c r="DY197" s="33">
        <f>(DX195+DY189)*SUMIFS(условия!$210:$210,условия!$8:$8,"&lt;="&amp;DY$9,условия!$9:$9,"&gt;="&amp;DY$9)/12</f>
        <v>0</v>
      </c>
      <c r="DZ197" s="33">
        <f>(DY195+DZ189)*SUMIFS(условия!$210:$210,условия!$8:$8,"&lt;="&amp;DZ$9,условия!$9:$9,"&gt;="&amp;DZ$9)/12</f>
        <v>0</v>
      </c>
      <c r="EA197" s="33">
        <f>(DZ195+EA189)*SUMIFS(условия!$210:$210,условия!$8:$8,"&lt;="&amp;EA$9,условия!$9:$9,"&gt;="&amp;EA$9)/12</f>
        <v>0</v>
      </c>
      <c r="EB197" s="33">
        <f>(EA195+EB189)*SUMIFS(условия!$210:$210,условия!$8:$8,"&lt;="&amp;EB$9,условия!$9:$9,"&gt;="&amp;EB$9)/12</f>
        <v>0</v>
      </c>
      <c r="EC197" s="33">
        <f>(EB195+EC189)*SUMIFS(условия!$210:$210,условия!$8:$8,"&lt;="&amp;EC$9,условия!$9:$9,"&gt;="&amp;EC$9)/12</f>
        <v>0</v>
      </c>
      <c r="ED197" s="33">
        <f>(EC195+ED189)*SUMIFS(условия!$210:$210,условия!$8:$8,"&lt;="&amp;ED$9,условия!$9:$9,"&gt;="&amp;ED$9)/12</f>
        <v>0</v>
      </c>
      <c r="EE197" s="33">
        <f>(ED195+EE189)*SUMIFS(условия!$210:$210,условия!$8:$8,"&lt;="&amp;EE$9,условия!$9:$9,"&gt;="&amp;EE$9)/12</f>
        <v>0</v>
      </c>
      <c r="EF197" s="33">
        <f>(EE195+EF189)*SUMIFS(условия!$210:$210,условия!$8:$8,"&lt;="&amp;EF$9,условия!$9:$9,"&gt;="&amp;EF$9)/12</f>
        <v>0</v>
      </c>
      <c r="EG197" s="33">
        <f>(EF195+EG189)*SUMIFS(условия!$210:$210,условия!$8:$8,"&lt;="&amp;EG$9,условия!$9:$9,"&gt;="&amp;EG$9)/12</f>
        <v>0</v>
      </c>
      <c r="EH197" s="33">
        <f>(EG195+EH189)*SUMIFS(условия!$210:$210,условия!$8:$8,"&lt;="&amp;EH$9,условия!$9:$9,"&gt;="&amp;EH$9)/12</f>
        <v>0</v>
      </c>
      <c r="EI197" s="33">
        <f>(EH195+EI189)*SUMIFS(условия!$210:$210,условия!$8:$8,"&lt;="&amp;EI$9,условия!$9:$9,"&gt;="&amp;EI$9)/12</f>
        <v>0</v>
      </c>
      <c r="EJ197" s="3"/>
      <c r="EK197" s="3"/>
    </row>
    <row r="198" spans="1:14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2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</row>
    <row r="199" spans="1:141" x14ac:dyDescent="0.25">
      <c r="A199" s="3"/>
      <c r="B199" s="3"/>
      <c r="C199" s="3"/>
      <c r="D199" s="3"/>
      <c r="E199" s="3"/>
      <c r="F199" s="10" t="str">
        <f>KPI!$F$191</f>
        <v>Оплата процентов по овердрафту</v>
      </c>
      <c r="G199" s="3"/>
      <c r="H199" s="3"/>
      <c r="I199" s="3"/>
      <c r="J199" s="5" t="str">
        <f>IF($F199="","",INDEX(KPI!$I$11:$I$275,SUMIFS(KPI!$E$11:$E$275,KPI!$F$11:$F$275,$F199)))</f>
        <v>тыс.руб.</v>
      </c>
      <c r="K199" s="3"/>
      <c r="L199" s="3"/>
      <c r="M199" s="3"/>
      <c r="N199" s="3"/>
      <c r="O199" s="3"/>
      <c r="P199" s="3"/>
      <c r="Q199" s="12">
        <f>SUM(S199:EJ199)</f>
        <v>107416.9627456286</v>
      </c>
      <c r="R199" s="3"/>
      <c r="S199" s="33"/>
      <c r="T199" s="33">
        <v>0</v>
      </c>
      <c r="U199" s="33">
        <f>IF(AND(U183&gt;0,U183&lt;SUM($T197:U197)-SUM($T199:T199)),U183,IF(AND(U183&gt;0,U183&gt;=SUM($T197:U197)-SUM($T199:T199)),SUM($T197:U197)-SUM($T199:T199),0))</f>
        <v>0</v>
      </c>
      <c r="V199" s="33">
        <f>IF(AND(V183&gt;0,V183&lt;SUM($T197:V197)-SUM($T199:U199)),V183,IF(AND(V183&gt;0,V183&gt;=SUM($T197:V197)-SUM($T199:U199)),SUM($T197:V197)-SUM($T199:U199),0))</f>
        <v>46.619623655913969</v>
      </c>
      <c r="W199" s="33">
        <f>IF(AND(W183&gt;0,W183&lt;SUM($T197:W197)-SUM($T199:V199)),W183,IF(AND(W183&gt;0,W183&gt;=SUM($T197:W197)-SUM($T199:V199)),SUM($T197:W197)-SUM($T199:V199),0))</f>
        <v>0</v>
      </c>
      <c r="X199" s="33">
        <f>IF(AND(X183&gt;0,X183&lt;SUM($T197:X197)-SUM($T199:W199)),X183,IF(AND(X183&gt;0,X183&gt;=SUM($T197:X197)-SUM($T199:W199)),SUM($T197:X197)-SUM($T199:W199),0))</f>
        <v>0</v>
      </c>
      <c r="Y199" s="33">
        <f>IF(AND(Y183&gt;0,Y183&lt;SUM($T197:Y197)-SUM($T199:X199)),Y183,IF(AND(Y183&gt;0,Y183&gt;=SUM($T197:Y197)-SUM($T199:X199)),SUM($T197:Y197)-SUM($T199:X199),0))</f>
        <v>0</v>
      </c>
      <c r="Z199" s="33">
        <f>IF(AND(Z183&gt;0,Z183&lt;SUM($T197:Z197)-SUM($T199:Y199)),Z183,IF(AND(Z183&gt;0,Z183&gt;=SUM($T197:Z197)-SUM($T199:Y199)),SUM($T197:Z197)-SUM($T199:Y199),0))</f>
        <v>0</v>
      </c>
      <c r="AA199" s="33">
        <f>IF(AND(AA183&gt;0,AA183&lt;SUM($T197:AA197)-SUM($T199:Z199)),AA183,IF(AND(AA183&gt;0,AA183&gt;=SUM($T197:AA197)-SUM($T199:Z199)),SUM($T197:AA197)-SUM($T199:Z199),0))</f>
        <v>0</v>
      </c>
      <c r="AB199" s="33">
        <f>IF(AND(AB183&gt;0,AB183&lt;SUM($T197:AB197)-SUM($T199:AA199)),AB183,IF(AND(AB183&gt;0,AB183&gt;=SUM($T197:AB197)-SUM($T199:AA199)),SUM($T197:AB197)-SUM($T199:AA199),0))</f>
        <v>141.26702087279168</v>
      </c>
      <c r="AC199" s="33">
        <f>IF(AND(AC183&gt;0,AC183&lt;SUM($T197:AC197)-SUM($T199:AB199)),AC183,IF(AND(AC183&gt;0,AC183&gt;=SUM($T197:AC197)-SUM($T199:AB199)),SUM($T197:AC197)-SUM($T199:AB199),0))</f>
        <v>0</v>
      </c>
      <c r="AD199" s="33">
        <f>IF(AND(AD183&gt;0,AD183&lt;SUM($T197:AD197)-SUM($T199:AC199)),AD183,IF(AND(AD183&gt;0,AD183&gt;=SUM($T197:AD197)-SUM($T199:AC199)),SUM($T197:AD197)-SUM($T199:AC199),0))</f>
        <v>563.06495371665301</v>
      </c>
      <c r="AE199" s="33">
        <f>IF(AND(AE183&gt;0,AE183&lt;SUM($T197:AE197)-SUM($T199:AD199)),AE183,IF(AND(AE183&gt;0,AE183&gt;=SUM($T197:AE197)-SUM($T199:AD199)),SUM($T197:AE197)-SUM($T199:AD199),0))</f>
        <v>0</v>
      </c>
      <c r="AF199" s="33">
        <f>IF(AND(AF183&gt;0,AF183&lt;SUM($T197:AF197)-SUM($T199:AE199)),AF183,IF(AND(AF183&gt;0,AF183&gt;=SUM($T197:AF197)-SUM($T199:AE199)),SUM($T197:AF197)-SUM($T199:AE199),0))</f>
        <v>524.15320276049579</v>
      </c>
      <c r="AG199" s="33">
        <f>IF(AND(AG183&gt;0,AG183&lt;SUM($T197:AG197)-SUM($T199:AF199)),AG183,IF(AND(AG183&gt;0,AG183&gt;=SUM($T197:AG197)-SUM($T199:AF199)),SUM($T197:AG197)-SUM($T199:AF199),0))</f>
        <v>0</v>
      </c>
      <c r="AH199" s="33">
        <f>IF(AND(AH183&gt;0,AH183&lt;SUM($T197:AH197)-SUM($T199:AG199)),AH183,IF(AND(AH183&gt;0,AH183&gt;=SUM($T197:AH197)-SUM($T199:AG199)),SUM($T197:AH197)-SUM($T199:AG199),0))</f>
        <v>963.25499182574049</v>
      </c>
      <c r="AI199" s="33">
        <f>IF(AND(AI183&gt;0,AI183&lt;SUM($T197:AI197)-SUM($T199:AH199)),AI183,IF(AND(AI183&gt;0,AI183&gt;=SUM($T197:AI197)-SUM($T199:AH199)),SUM($T197:AI197)-SUM($T199:AH199),0))</f>
        <v>0</v>
      </c>
      <c r="AJ199" s="33">
        <f>IF(AND(AJ183&gt;0,AJ183&lt;SUM($T197:AJ197)-SUM($T199:AI199)),AJ183,IF(AND(AJ183&gt;0,AJ183&gt;=SUM($T197:AJ197)-SUM($T199:AI199)),SUM($T197:AJ197)-SUM($T199:AI199),0))</f>
        <v>2.6745398967941583</v>
      </c>
      <c r="AK199" s="33">
        <f>IF(AND(AK183&gt;0,AK183&lt;SUM($T197:AK197)-SUM($T199:AJ199)),AK183,IF(AND(AK183&gt;0,AK183&gt;=SUM($T197:AK197)-SUM($T199:AJ199)),SUM($T197:AK197)-SUM($T199:AJ199),0))</f>
        <v>0</v>
      </c>
      <c r="AL199" s="33">
        <f>IF(AND(AL183&gt;0,AL183&lt;SUM($T197:AL197)-SUM($T199:AK199)),AL183,IF(AND(AL183&gt;0,AL183&gt;=SUM($T197:AL197)-SUM($T199:AK199)),SUM($T197:AL197)-SUM($T199:AK199),0))</f>
        <v>0</v>
      </c>
      <c r="AM199" s="33">
        <f>IF(AND(AM183&gt;0,AM183&lt;SUM($T197:AM197)-SUM($T199:AL199)),AM183,IF(AND(AM183&gt;0,AM183&gt;=SUM($T197:AM197)-SUM($T199:AL199)),SUM($T197:AM197)-SUM($T199:AL199),0))</f>
        <v>0</v>
      </c>
      <c r="AN199" s="33">
        <f>IF(AND(AN183&gt;0,AN183&lt;SUM($T197:AN197)-SUM($T199:AM199)),AN183,IF(AND(AN183&gt;0,AN183&gt;=SUM($T197:AN197)-SUM($T199:AM199)),SUM($T197:AN197)-SUM($T199:AM199),0))</f>
        <v>0</v>
      </c>
      <c r="AO199" s="33">
        <f>IF(AND(AO183&gt;0,AO183&lt;SUM($T197:AO197)-SUM($T199:AN199)),AO183,IF(AND(AO183&gt;0,AO183&gt;=SUM($T197:AO197)-SUM($T199:AN199)),SUM($T197:AO197)-SUM($T199:AN199),0))</f>
        <v>0</v>
      </c>
      <c r="AP199" s="33">
        <f>IF(AND(AP183&gt;0,AP183&lt;SUM($T197:AP197)-SUM($T199:AO199)),AP183,IF(AND(AP183&gt;0,AP183&gt;=SUM($T197:AP197)-SUM($T199:AO199)),SUM($T197:AP197)-SUM($T199:AO199),0))</f>
        <v>5219.0198396686837</v>
      </c>
      <c r="AQ199" s="33">
        <f>IF(AND(AQ183&gt;0,AQ183&lt;SUM($T197:AQ197)-SUM($T199:AP199)),AQ183,IF(AND(AQ183&gt;0,AQ183&gt;=SUM($T197:AQ197)-SUM($T199:AP199)),SUM($T197:AQ197)-SUM($T199:AP199),0))</f>
        <v>0</v>
      </c>
      <c r="AR199" s="33">
        <f>IF(AND(AR183&gt;0,AR183&lt;SUM($T197:AR197)-SUM($T199:AQ199)),AR183,IF(AND(AR183&gt;0,AR183&gt;=SUM($T197:AR197)-SUM($T199:AQ199)),SUM($T197:AR197)-SUM($T199:AQ199),0))</f>
        <v>2181.6375078113051</v>
      </c>
      <c r="AS199" s="33">
        <f>IF(AND(AS183&gt;0,AS183&lt;SUM($T197:AS197)-SUM($T199:AR199)),AS183,IF(AND(AS183&gt;0,AS183&gt;=SUM($T197:AS197)-SUM($T199:AR199)),SUM($T197:AS197)-SUM($T199:AR199),0))</f>
        <v>0</v>
      </c>
      <c r="AT199" s="33">
        <f>IF(AND(AT183&gt;0,AT183&lt;SUM($T197:AT197)-SUM($T199:AS199)),AT183,IF(AND(AT183&gt;0,AT183&gt;=SUM($T197:AT197)-SUM($T199:AS199)),SUM($T197:AT197)-SUM($T199:AS199),0))</f>
        <v>2007.0432351423187</v>
      </c>
      <c r="AU199" s="33">
        <f>IF(AND(AU183&gt;0,AU183&lt;SUM($T197:AU197)-SUM($T199:AT199)),AU183,IF(AND(AU183&gt;0,AU183&gt;=SUM($T197:AU197)-SUM($T199:AT199)),SUM($T197:AU197)-SUM($T199:AT199),0))</f>
        <v>0</v>
      </c>
      <c r="AV199" s="33">
        <f>IF(AND(AV183&gt;0,AV183&lt;SUM($T197:AV197)-SUM($T199:AU199)),AV183,IF(AND(AV183&gt;0,AV183&gt;=SUM($T197:AV197)-SUM($T199:AU199)),SUM($T197:AV197)-SUM($T199:AU199),0))</f>
        <v>2241.5562968124941</v>
      </c>
      <c r="AW199" s="33">
        <f>IF(AND(AW183&gt;0,AW183&lt;SUM($T197:AW197)-SUM($T199:AV199)),AW183,IF(AND(AW183&gt;0,AW183&gt;=SUM($T197:AW197)-SUM($T199:AV199)),SUM($T197:AW197)-SUM($T199:AV199),0))</f>
        <v>1091.6580401604533</v>
      </c>
      <c r="AX199" s="33">
        <f>IF(AND(AX183&gt;0,AX183&lt;SUM($T197:AX197)-SUM($T199:AW199)),AX183,IF(AND(AX183&gt;0,AX183&gt;=SUM($T197:AX197)-SUM($T199:AW199)),SUM($T197:AX197)-SUM($T199:AW199),0))</f>
        <v>1085.241633583275</v>
      </c>
      <c r="AY199" s="33">
        <f>IF(AND(AY183&gt;0,AY183&lt;SUM($T197:AY197)-SUM($T199:AX199)),AY183,IF(AND(AY183&gt;0,AY183&gt;=SUM($T197:AY197)-SUM($T199:AX199)),SUM($T197:AY197)-SUM($T199:AX199),0))</f>
        <v>0</v>
      </c>
      <c r="AZ199" s="33">
        <f>IF(AND(AZ183&gt;0,AZ183&lt;SUM($T197:AZ197)-SUM($T199:AY199)),AZ183,IF(AND(AZ183&gt;0,AZ183&gt;=SUM($T197:AZ197)-SUM($T199:AY199)),SUM($T197:AZ197)-SUM($T199:AY199),0))</f>
        <v>0</v>
      </c>
      <c r="BA199" s="33">
        <f>IF(AND(BA183&gt;0,BA183&lt;SUM($T197:BA197)-SUM($T199:AZ199)),BA183,IF(AND(BA183&gt;0,BA183&gt;=SUM($T197:BA197)-SUM($T199:AZ199)),SUM($T197:BA197)-SUM($T199:AZ199),0))</f>
        <v>0</v>
      </c>
      <c r="BB199" s="33">
        <f>IF(AND(BB183&gt;0,BB183&lt;SUM($T197:BB197)-SUM($T199:BA199)),BB183,IF(AND(BB183&gt;0,BB183&gt;=SUM($T197:BB197)-SUM($T199:BA199)),SUM($T197:BB197)-SUM($T199:BA199),0))</f>
        <v>5295.0333321356011</v>
      </c>
      <c r="BC199" s="33">
        <f>IF(AND(BC183&gt;0,BC183&lt;SUM($T197:BC197)-SUM($T199:BB199)),BC183,IF(AND(BC183&gt;0,BC183&gt;=SUM($T197:BC197)-SUM($T199:BB199)),SUM($T197:BC197)-SUM($T199:BB199),0))</f>
        <v>0</v>
      </c>
      <c r="BD199" s="33">
        <f>IF(AND(BD183&gt;0,BD183&lt;SUM($T197:BD197)-SUM($T199:BC199)),BD183,IF(AND(BD183&gt;0,BD183&gt;=SUM($T197:BD197)-SUM($T199:BC199)),SUM($T197:BD197)-SUM($T199:BC199),0))</f>
        <v>3678.4763044449719</v>
      </c>
      <c r="BE199" s="33">
        <f>IF(AND(BE183&gt;0,BE183&lt;SUM($T197:BE197)-SUM($T199:BD199)),BE183,IF(AND(BE183&gt;0,BE183&gt;=SUM($T197:BE197)-SUM($T199:BD199)),SUM($T197:BE197)-SUM($T199:BD199),0))</f>
        <v>1699.2353325551194</v>
      </c>
      <c r="BF199" s="33">
        <f>IF(AND(BF183&gt;0,BF183&lt;SUM($T197:BF197)-SUM($T199:BE199)),BF183,IF(AND(BF183&gt;0,BF183&gt;=SUM($T197:BF197)-SUM($T199:BE199)),SUM($T197:BF197)-SUM($T199:BE199),0))</f>
        <v>1541.3720158584038</v>
      </c>
      <c r="BG199" s="33">
        <f>IF(AND(BG183&gt;0,BG183&lt;SUM($T197:BG197)-SUM($T199:BF199)),BG183,IF(AND(BG183&gt;0,BG183&gt;=SUM($T197:BG197)-SUM($T199:BF199)),SUM($T197:BG197)-SUM($T199:BF199),0))</f>
        <v>0</v>
      </c>
      <c r="BH199" s="33">
        <f>IF(AND(BH183&gt;0,BH183&lt;SUM($T197:BH197)-SUM($T199:BG199)),BH183,IF(AND(BH183&gt;0,BH183&gt;=SUM($T197:BH197)-SUM($T199:BG199)),SUM($T197:BH197)-SUM($T199:BG199),0))</f>
        <v>3356.2930682877122</v>
      </c>
      <c r="BI199" s="33">
        <f>IF(AND(BI183&gt;0,BI183&lt;SUM($T197:BI197)-SUM($T199:BH199)),BI183,IF(AND(BI183&gt;0,BI183&gt;=SUM($T197:BI197)-SUM($T199:BH199)),SUM($T197:BI197)-SUM($T199:BH199),0))</f>
        <v>1578.7014778225712</v>
      </c>
      <c r="BJ199" s="33">
        <f>IF(AND(BJ183&gt;0,BJ183&lt;SUM($T197:BJ197)-SUM($T199:BI199)),BJ183,IF(AND(BJ183&gt;0,BJ183&gt;=SUM($T197:BJ197)-SUM($T199:BI199)),SUM($T197:BJ197)-SUM($T199:BI199),0))</f>
        <v>0</v>
      </c>
      <c r="BK199" s="33">
        <f>IF(AND(BK183&gt;0,BK183&lt;SUM($T197:BK197)-SUM($T199:BJ199)),BK183,IF(AND(BK183&gt;0,BK183&gt;=SUM($T197:BK197)-SUM($T199:BJ199)),SUM($T197:BK197)-SUM($T199:BJ199),0))</f>
        <v>3083.9825679446949</v>
      </c>
      <c r="BL199" s="33">
        <f>IF(AND(BL183&gt;0,BL183&lt;SUM($T197:BL197)-SUM($T199:BK199)),BL183,IF(AND(BL183&gt;0,BL183&gt;=SUM($T197:BL197)-SUM($T199:BK199)),SUM($T197:BL197)-SUM($T199:BK199),0))</f>
        <v>0</v>
      </c>
      <c r="BM199" s="33">
        <f>IF(AND(BM183&gt;0,BM183&lt;SUM($T197:BM197)-SUM($T199:BL199)),BM183,IF(AND(BM183&gt;0,BM183&gt;=SUM($T197:BM197)-SUM($T199:BL199)),SUM($T197:BM197)-SUM($T199:BL199),0))</f>
        <v>3809.6600365854683</v>
      </c>
      <c r="BN199" s="33">
        <f>IF(AND(BN183&gt;0,BN183&lt;SUM($T197:BN197)-SUM($T199:BM199)),BN183,IF(AND(BN183&gt;0,BN183&gt;=SUM($T197:BN197)-SUM($T199:BM199)),SUM($T197:BN197)-SUM($T199:BM199),0))</f>
        <v>0</v>
      </c>
      <c r="BO199" s="33">
        <f>IF(AND(BO183&gt;0,BO183&lt;SUM($T197:BO197)-SUM($T199:BN199)),BO183,IF(AND(BO183&gt;0,BO183&gt;=SUM($T197:BO197)-SUM($T199:BN199)),SUM($T197:BO197)-SUM($T199:BN199),0))</f>
        <v>5030.9640446133708</v>
      </c>
      <c r="BP199" s="33">
        <f>IF(AND(BP183&gt;0,BP183&lt;SUM($T197:BP197)-SUM($T199:BO199)),BP183,IF(AND(BP183&gt;0,BP183&gt;=SUM($T197:BP197)-SUM($T199:BO199)),SUM($T197:BP197)-SUM($T199:BO199),0))</f>
        <v>2167.2302295029513</v>
      </c>
      <c r="BQ199" s="33">
        <f>IF(AND(BQ183&gt;0,BQ183&lt;SUM($T197:BQ197)-SUM($T199:BP199)),BQ183,IF(AND(BQ183&gt;0,BQ183&gt;=SUM($T197:BQ197)-SUM($T199:BP199)),SUM($T197:BQ197)-SUM($T199:BP199),0))</f>
        <v>1806.3782348742461</v>
      </c>
      <c r="BR199" s="33">
        <f>IF(AND(BR183&gt;0,BR183&lt;SUM($T197:BR197)-SUM($T199:BQ199)),BR183,IF(AND(BR183&gt;0,BR183&gt;=SUM($T197:BR197)-SUM($T199:BQ199)),SUM($T197:BR197)-SUM($T199:BQ199),0))</f>
        <v>0</v>
      </c>
      <c r="BS199" s="33">
        <f>IF(AND(BS183&gt;0,BS183&lt;SUM($T197:BS197)-SUM($T199:BR199)),BS183,IF(AND(BS183&gt;0,BS183&gt;=SUM($T197:BS197)-SUM($T199:BR199)),SUM($T197:BS197)-SUM($T199:BR199),0))</f>
        <v>4390.3237155214447</v>
      </c>
      <c r="BT199" s="33">
        <f>IF(AND(BT183&gt;0,BT183&lt;SUM($T197:BT197)-SUM($T199:BS199)),BT183,IF(AND(BT183&gt;0,BT183&gt;=SUM($T197:BT197)-SUM($T199:BS199)),SUM($T197:BT197)-SUM($T199:BS199),0))</f>
        <v>0</v>
      </c>
      <c r="BU199" s="33">
        <f>IF(AND(BU183&gt;0,BU183&lt;SUM($T197:BU197)-SUM($T199:BT199)),BU183,IF(AND(BU183&gt;0,BU183&gt;=SUM($T197:BU197)-SUM($T199:BT199)),SUM($T197:BU197)-SUM($T199:BT199),0))</f>
        <v>4040.7701611800148</v>
      </c>
      <c r="BV199" s="33">
        <f>IF(AND(BV183&gt;0,BV183&lt;SUM($T197:BV197)-SUM($T199:BU199)),BV183,IF(AND(BV183&gt;0,BV183&gt;=SUM($T197:BV197)-SUM($T199:BU199)),SUM($T197:BV197)-SUM($T199:BU199),0))</f>
        <v>0</v>
      </c>
      <c r="BW199" s="33">
        <f>IF(AND(BW183&gt;0,BW183&lt;SUM($T197:BW197)-SUM($T199:BV199)),BW183,IF(AND(BW183&gt;0,BW183&gt;=SUM($T197:BW197)-SUM($T199:BV199)),SUM($T197:BW197)-SUM($T199:BV199),0))</f>
        <v>3835.9137755501579</v>
      </c>
      <c r="BX199" s="33">
        <f>IF(AND(BX183&gt;0,BX183&lt;SUM($T197:BX197)-SUM($T199:BW199)),BX183,IF(AND(BX183&gt;0,BX183&gt;=SUM($T197:BX197)-SUM($T199:BW199)),SUM($T197:BX197)-SUM($T199:BW199),0))</f>
        <v>0</v>
      </c>
      <c r="BY199" s="33">
        <f>IF(AND(BY183&gt;0,BY183&lt;SUM($T197:BY197)-SUM($T199:BX199)),BY183,IF(AND(BY183&gt;0,BY183&gt;=SUM($T197:BY197)-SUM($T199:BX199)),SUM($T197:BY197)-SUM($T199:BX199),0))</f>
        <v>4215.7114469917869</v>
      </c>
      <c r="BZ199" s="33">
        <f>IF(AND(BZ183&gt;0,BZ183&lt;SUM($T197:BZ197)-SUM($T199:BY199)),BZ183,IF(AND(BZ183&gt;0,BZ183&gt;=SUM($T197:BZ197)-SUM($T199:BY199)),SUM($T197:BZ197)-SUM($T199:BY199),0))</f>
        <v>0</v>
      </c>
      <c r="CA199" s="33">
        <f>IF(AND(CA183&gt;0,CA183&lt;SUM($T197:CA197)-SUM($T199:BZ199)),CA183,IF(AND(CA183&gt;0,CA183&gt;=SUM($T197:CA197)-SUM($T199:BZ199)),SUM($T197:CA197)-SUM($T199:BZ199),0))</f>
        <v>4793.9753170819313</v>
      </c>
      <c r="CB199" s="33">
        <f>IF(AND(CB183&gt;0,CB183&lt;SUM($T197:CB197)-SUM($T199:CA199)),CB183,IF(AND(CB183&gt;0,CB183&gt;=SUM($T197:CB197)-SUM($T199:CA199)),SUM($T197:CB197)-SUM($T199:CA199),0))</f>
        <v>1319.7963554424059</v>
      </c>
      <c r="CC199" s="33">
        <f>IF(AND(CC183&gt;0,CC183&lt;SUM($T197:CC197)-SUM($T199:CB199)),CC183,IF(AND(CC183&gt;0,CC183&gt;=SUM($T197:CC197)-SUM($T199:CB199)),SUM($T197:CC197)-SUM($T199:CB199),0))</f>
        <v>1089.9531361804402</v>
      </c>
      <c r="CD199" s="33">
        <f>IF(AND(CD183&gt;0,CD183&lt;SUM($T197:CD197)-SUM($T199:CC199)),CD183,IF(AND(CD183&gt;0,CD183&gt;=SUM($T197:CD197)-SUM($T199:CC199)),SUM($T197:CD197)-SUM($T199:CC199),0))</f>
        <v>0</v>
      </c>
      <c r="CE199" s="33">
        <f>IF(AND(CE183&gt;0,CE183&lt;SUM($T197:CE197)-SUM($T199:CD199)),CE183,IF(AND(CE183&gt;0,CE183&gt;=SUM($T197:CE197)-SUM($T199:CD199)),SUM($T197:CE197)-SUM($T199:CD199),0))</f>
        <v>5420.3225123479497</v>
      </c>
      <c r="CF199" s="33">
        <f>IF(AND(CF183&gt;0,CF183&lt;SUM($T197:CF197)-SUM($T199:CE199)),CF183,IF(AND(CF183&gt;0,CF183&gt;=SUM($T197:CF197)-SUM($T199:CE199)),SUM($T197:CF197)-SUM($T199:CE199),0))</f>
        <v>2108.2093798715359</v>
      </c>
      <c r="CG199" s="33">
        <f>IF(AND(CG183&gt;0,CG183&lt;SUM($T197:CG197)-SUM($T199:CF199)),CG183,IF(AND(CG183&gt;0,CG183&gt;=SUM($T197:CG197)-SUM($T199:CF199)),SUM($T197:CG197)-SUM($T199:CF199),0))</f>
        <v>1839.2997874807479</v>
      </c>
      <c r="CH199" s="33">
        <f>IF(AND(CH183&gt;0,CH183&lt;SUM($T197:CH197)-SUM($T199:CG199)),CH183,IF(AND(CH183&gt;0,CH183&gt;=SUM($T197:CH197)-SUM($T199:CG199)),SUM($T197:CH197)-SUM($T199:CG199),0))</f>
        <v>1510.8580278101435</v>
      </c>
      <c r="CI199" s="33">
        <f>IF(AND(CI183&gt;0,CI183&lt;SUM($T197:CI197)-SUM($T199:CH199)),CI183,IF(AND(CI183&gt;0,CI183&gt;=SUM($T197:CI197)-SUM($T199:CH199)),SUM($T197:CI197)-SUM($T199:CH199),0))</f>
        <v>1151.7824600331805</v>
      </c>
      <c r="CJ199" s="33">
        <f>IF(AND(CJ183&gt;0,CJ183&lt;SUM($T197:CJ197)-SUM($T199:CI199)),CJ183,IF(AND(CJ183&gt;0,CJ183&gt;=SUM($T197:CJ197)-SUM($T199:CI199)),SUM($T197:CJ197)-SUM($T199:CI199),0))</f>
        <v>0</v>
      </c>
      <c r="CK199" s="33">
        <f>IF(AND(CK183&gt;0,CK183&lt;SUM($T197:CK197)-SUM($T199:CJ199)),CK183,IF(AND(CK183&gt;0,CK183&gt;=SUM($T197:CK197)-SUM($T199:CJ199)),SUM($T197:CK197)-SUM($T199:CJ199),0))</f>
        <v>3983.3822568972246</v>
      </c>
      <c r="CL199" s="33">
        <f>IF(AND(CL183&gt;0,CL183&lt;SUM($T197:CL197)-SUM($T199:CK199)),CL183,IF(AND(CL183&gt;0,CL183&gt;=SUM($T197:CL197)-SUM($T199:CK199)),SUM($T197:CL197)-SUM($T199:CK199),0))</f>
        <v>0</v>
      </c>
      <c r="CM199" s="33">
        <f>IF(AND(CM183&gt;0,CM183&lt;SUM($T197:CM197)-SUM($T199:CL199)),CM183,IF(AND(CM183&gt;0,CM183&gt;=SUM($T197:CM197)-SUM($T199:CL199)),SUM($T197:CM197)-SUM($T199:CL199),0))</f>
        <v>0</v>
      </c>
      <c r="CN199" s="33">
        <f>IF(AND(CN183&gt;0,CN183&lt;SUM($T197:CN197)-SUM($T199:CM199)),CN183,IF(AND(CN183&gt;0,CN183&gt;=SUM($T197:CN197)-SUM($T199:CM199)),SUM($T197:CN197)-SUM($T199:CM199),0))</f>
        <v>5430.6539596771327</v>
      </c>
      <c r="CO199" s="33">
        <f>IF(AND(CO183&gt;0,CO183&lt;SUM($T197:CO197)-SUM($T199:CN199)),CO183,IF(AND(CO183&gt;0,CO183&gt;=SUM($T197:CO197)-SUM($T199:CN199)),SUM($T197:CO197)-SUM($T199:CN199),0))</f>
        <v>1500.5370957259875</v>
      </c>
      <c r="CP199" s="33">
        <f>IF(AND(CP183&gt;0,CP183&lt;SUM($T197:CP197)-SUM($T199:CO199)),CP183,IF(AND(CP183&gt;0,CP183&gt;=SUM($T197:CP197)-SUM($T199:CO199)),SUM($T197:CP197)-SUM($T199:CO199),0))</f>
        <v>0</v>
      </c>
      <c r="CQ199" s="33">
        <f>IF(AND(CQ183&gt;0,CQ183&lt;SUM($T197:CQ197)-SUM($T199:CP199)),CQ183,IF(AND(CQ183&gt;0,CQ183&gt;=SUM($T197:CQ197)-SUM($T199:CP199)),SUM($T197:CQ197)-SUM($T199:CP199),0))</f>
        <v>1996.1271040683496</v>
      </c>
      <c r="CR199" s="33">
        <f>IF(AND(CR183&gt;0,CR183&lt;SUM($T197:CR197)-SUM($T199:CQ199)),CR183,IF(AND(CR183&gt;0,CR183&gt;=SUM($T197:CR197)-SUM($T199:CQ199)),SUM($T197:CR197)-SUM($T199:CQ199),0))</f>
        <v>0</v>
      </c>
      <c r="CS199" s="33">
        <f>IF(AND(CS183&gt;0,CS183&lt;SUM($T197:CS197)-SUM($T199:CR199)),CS183,IF(AND(CS183&gt;0,CS183&gt;=SUM($T197:CS197)-SUM($T199:CR199)),SUM($T197:CS197)-SUM($T199:CR199),0))</f>
        <v>3060.4599726183515</v>
      </c>
      <c r="CT199" s="33">
        <f>IF(AND(CT183&gt;0,CT183&lt;SUM($T197:CT197)-SUM($T199:CS199)),CT183,IF(AND(CT183&gt;0,CT183&gt;=SUM($T197:CT197)-SUM($T199:CS199)),SUM($T197:CT197)-SUM($T199:CS199),0))</f>
        <v>1108.8252108637535</v>
      </c>
      <c r="CU199" s="33">
        <f>IF(AND(CU183&gt;0,CU183&lt;SUM($T197:CU197)-SUM($T199:CT199)),CU183,IF(AND(CU183&gt;0,CU183&gt;=SUM($T197:CU197)-SUM($T199:CT199)),SUM($T197:CU197)-SUM($T199:CT199),0))</f>
        <v>595.7902037591557</v>
      </c>
      <c r="CV199" s="33">
        <f>IF(AND(CV183&gt;0,CV183&lt;SUM($T197:CV197)-SUM($T199:CU199)),CV183,IF(AND(CV183&gt;0,CV183&gt;=SUM($T197:CV197)-SUM($T199:CU199)),SUM($T197:CV197)-SUM($T199:CU199),0))</f>
        <v>0</v>
      </c>
      <c r="CW199" s="33">
        <f>IF(AND(CW183&gt;0,CW183&lt;SUM($T197:CW197)-SUM($T199:CV199)),CW183,IF(AND(CW183&gt;0,CW183&gt;=SUM($T197:CW197)-SUM($T199:CV199)),SUM($T197:CW197)-SUM($T199:CV199),0))</f>
        <v>1239.7107694801234</v>
      </c>
      <c r="CX199" s="33">
        <f>IF(AND(CX183&gt;0,CX183&lt;SUM($T197:CX197)-SUM($T199:CW199)),CX183,IF(AND(CX183&gt;0,CX183&gt;=SUM($T197:CX197)-SUM($T199:CW199)),SUM($T197:CX197)-SUM($T199:CW199),0))</f>
        <v>0</v>
      </c>
      <c r="CY199" s="33">
        <f>IF(AND(CY183&gt;0,CY183&lt;SUM($T197:CY197)-SUM($T199:CX199)),CY183,IF(AND(CY183&gt;0,CY183&gt;=SUM($T197:CY197)-SUM($T199:CX199)),SUM($T197:CY197)-SUM($T199:CX199),0))</f>
        <v>2270.8021383847517</v>
      </c>
      <c r="CZ199" s="33">
        <f>IF(AND(CZ183&gt;0,CZ183&lt;SUM($T197:CZ197)-SUM($T199:CY199)),CZ183,IF(AND(CZ183&gt;0,CZ183&gt;=SUM($T197:CZ197)-SUM($T199:CY199)),SUM($T197:CZ197)-SUM($T199:CY199),0))</f>
        <v>0</v>
      </c>
      <c r="DA199" s="33">
        <f>IF(AND(DA183&gt;0,DA183&lt;SUM($T197:DA197)-SUM($T199:CZ199)),DA183,IF(AND(DA183&gt;0,DA183&gt;=SUM($T197:DA197)-SUM($T199:CZ199)),SUM($T197:DA197)-SUM($T199:CZ199),0))</f>
        <v>0</v>
      </c>
      <c r="DB199" s="33">
        <f>IF(AND(DB183&gt;0,DB183&lt;SUM($T197:DB197)-SUM($T199:DA199)),DB183,IF(AND(DB183&gt;0,DB183&gt;=SUM($T197:DB197)-SUM($T199:DA199)),SUM($T197:DB197)-SUM($T199:DA199),0))</f>
        <v>0</v>
      </c>
      <c r="DC199" s="33">
        <f>IF(AND(DC183&gt;0,DC183&lt;SUM($T197:DC197)-SUM($T199:DB199)),DC183,IF(AND(DC183&gt;0,DC183&gt;=SUM($T197:DC197)-SUM($T199:DB199)),SUM($T197:DC197)-SUM($T199:DB199),0))</f>
        <v>1399.2404281299969</v>
      </c>
      <c r="DD199" s="33">
        <f>IF(AND(DD183&gt;0,DD183&lt;SUM($T197:DD197)-SUM($T199:DC199)),DD183,IF(AND(DD183&gt;0,DD183&gt;=SUM($T197:DD197)-SUM($T199:DC199)),SUM($T197:DD197)-SUM($T199:DC199),0))</f>
        <v>0</v>
      </c>
      <c r="DE199" s="33">
        <f>IF(AND(DE183&gt;0,DE183&lt;SUM($T197:DE197)-SUM($T199:DD199)),DE183,IF(AND(DE183&gt;0,DE183&gt;=SUM($T197:DE197)-SUM($T199:DD199)),SUM($T197:DE197)-SUM($T199:DD199),0))</f>
        <v>0</v>
      </c>
      <c r="DF199" s="33">
        <f>IF(AND(DF183&gt;0,DF183&lt;SUM($T197:DF197)-SUM($T199:DE199)),DF183,IF(AND(DF183&gt;0,DF183&gt;=SUM($T197:DF197)-SUM($T199:DE199)),SUM($T197:DF197)-SUM($T199:DE199),0))</f>
        <v>0</v>
      </c>
      <c r="DG199" s="33">
        <f>IF(AND(DG183&gt;0,DG183&lt;SUM($T197:DG197)-SUM($T199:DF199)),DG183,IF(AND(DG183&gt;0,DG183&gt;=SUM($T197:DG197)-SUM($T199:DF199)),SUM($T197:DG197)-SUM($T199:DF199),0))</f>
        <v>0</v>
      </c>
      <c r="DH199" s="33">
        <f>IF(AND(DH183&gt;0,DH183&lt;SUM($T197:DH197)-SUM($T199:DG199)),DH183,IF(AND(DH183&gt;0,DH183&gt;=SUM($T197:DH197)-SUM($T199:DG199)),SUM($T197:DH197)-SUM($T199:DG199),0))</f>
        <v>0</v>
      </c>
      <c r="DI199" s="33">
        <f>IF(AND(DI183&gt;0,DI183&lt;SUM($T197:DI197)-SUM($T199:DH199)),DI183,IF(AND(DI183&gt;0,DI183&gt;=SUM($T197:DI197)-SUM($T199:DH199)),SUM($T197:DI197)-SUM($T199:DH199),0))</f>
        <v>0</v>
      </c>
      <c r="DJ199" s="33">
        <f>IF(AND(DJ183&gt;0,DJ183&lt;SUM($T197:DJ197)-SUM($T199:DI199)),DJ183,IF(AND(DJ183&gt;0,DJ183&gt;=SUM($T197:DJ197)-SUM($T199:DI199)),SUM($T197:DJ197)-SUM($T199:DI199),0))</f>
        <v>0</v>
      </c>
      <c r="DK199" s="33">
        <f>IF(AND(DK183&gt;0,DK183&lt;SUM($T197:DK197)-SUM($T199:DJ199)),DK183,IF(AND(DK183&gt;0,DK183&gt;=SUM($T197:DK197)-SUM($T199:DJ199)),SUM($T197:DK197)-SUM($T199:DJ199),0))</f>
        <v>0</v>
      </c>
      <c r="DL199" s="33">
        <f>IF(AND(DL183&gt;0,DL183&lt;SUM($T197:DL197)-SUM($T199:DK199)),DL183,IF(AND(DL183&gt;0,DL183&gt;=SUM($T197:DL197)-SUM($T199:DK199)),SUM($T197:DL197)-SUM($T199:DK199),0))</f>
        <v>0</v>
      </c>
      <c r="DM199" s="33">
        <f>IF(AND(DM183&gt;0,DM183&lt;SUM($T197:DM197)-SUM($T199:DL199)),DM183,IF(AND(DM183&gt;0,DM183&gt;=SUM($T197:DM197)-SUM($T199:DL199)),SUM($T197:DM197)-SUM($T199:DL199),0))</f>
        <v>0</v>
      </c>
      <c r="DN199" s="33">
        <f>IF(AND(DN183&gt;0,DN183&lt;SUM($T197:DN197)-SUM($T199:DM199)),DN183,IF(AND(DN183&gt;0,DN183&gt;=SUM($T197:DN197)-SUM($T199:DM199)),SUM($T197:DN197)-SUM($T199:DM199),0))</f>
        <v>0</v>
      </c>
      <c r="DO199" s="33">
        <f>IF(AND(DO183&gt;0,DO183&lt;SUM($T197:DO197)-SUM($T199:DN199)),DO183,IF(AND(DO183&gt;0,DO183&gt;=SUM($T197:DO197)-SUM($T199:DN199)),SUM($T197:DO197)-SUM($T199:DN199),0))</f>
        <v>0</v>
      </c>
      <c r="DP199" s="33">
        <f>IF(AND(DP183&gt;0,DP183&lt;SUM($T197:DP197)-SUM($T199:DO199)),DP183,IF(AND(DP183&gt;0,DP183&gt;=SUM($T197:DP197)-SUM($T199:DO199)),SUM($T197:DP197)-SUM($T199:DO199),0))</f>
        <v>0</v>
      </c>
      <c r="DQ199" s="33">
        <f>IF(AND(DQ183&gt;0,DQ183&lt;SUM($T197:DQ197)-SUM($T199:DP199)),DQ183,IF(AND(DQ183&gt;0,DQ183&gt;=SUM($T197:DQ197)-SUM($T199:DP199)),SUM($T197:DQ197)-SUM($T199:DP199),0))</f>
        <v>0</v>
      </c>
      <c r="DR199" s="33">
        <f>IF(AND(DR183&gt;0,DR183&lt;SUM($T197:DR197)-SUM($T199:DQ199)),DR183,IF(AND(DR183&gt;0,DR183&gt;=SUM($T197:DR197)-SUM($T199:DQ199)),SUM($T197:DR197)-SUM($T199:DQ199),0))</f>
        <v>0</v>
      </c>
      <c r="DS199" s="33">
        <f>IF(AND(DS183&gt;0,DS183&lt;SUM($T197:DS197)-SUM($T199:DR199)),DS183,IF(AND(DS183&gt;0,DS183&gt;=SUM($T197:DS197)-SUM($T199:DR199)),SUM($T197:DS197)-SUM($T199:DR199),0))</f>
        <v>0</v>
      </c>
      <c r="DT199" s="33">
        <f>IF(AND(DT183&gt;0,DT183&lt;SUM($T197:DT197)-SUM($T199:DS199)),DT183,IF(AND(DT183&gt;0,DT183&gt;=SUM($T197:DT197)-SUM($T199:DS199)),SUM($T197:DT197)-SUM($T199:DS199),0))</f>
        <v>0</v>
      </c>
      <c r="DU199" s="33">
        <f>IF(AND(DU183&gt;0,DU183&lt;SUM($T197:DU197)-SUM($T199:DT199)),DU183,IF(AND(DU183&gt;0,DU183&gt;=SUM($T197:DU197)-SUM($T199:DT199)),SUM($T197:DU197)-SUM($T199:DT199),0))</f>
        <v>0</v>
      </c>
      <c r="DV199" s="33">
        <f>IF(AND(DV183&gt;0,DV183&lt;SUM($T197:DV197)-SUM($T199:DU199)),DV183,IF(AND(DV183&gt;0,DV183&gt;=SUM($T197:DV197)-SUM($T199:DU199)),SUM($T197:DV197)-SUM($T199:DU199),0))</f>
        <v>0</v>
      </c>
      <c r="DW199" s="33">
        <f>IF(AND(DW183&gt;0,DW183&lt;SUM($T197:DW197)-SUM($T199:DV199)),DW183,IF(AND(DW183&gt;0,DW183&gt;=SUM($T197:DW197)-SUM($T199:DV199)),SUM($T197:DW197)-SUM($T199:DV199),0))</f>
        <v>0</v>
      </c>
      <c r="DX199" s="33">
        <f>IF(AND(DX183&gt;0,DX183&lt;SUM($T197:DX197)-SUM($T199:DW199)),DX183,IF(AND(DX183&gt;0,DX183&gt;=SUM($T197:DX197)-SUM($T199:DW199)),SUM($T197:DX197)-SUM($T199:DW199),0))</f>
        <v>0</v>
      </c>
      <c r="DY199" s="33">
        <f>IF(AND(DY183&gt;0,DY183&lt;SUM($T197:DY197)-SUM($T199:DX199)),DY183,IF(AND(DY183&gt;0,DY183&gt;=SUM($T197:DY197)-SUM($T199:DX199)),SUM($T197:DY197)-SUM($T199:DX199),0))</f>
        <v>0</v>
      </c>
      <c r="DZ199" s="33">
        <f>IF(AND(DZ183&gt;0,DZ183&lt;SUM($T197:DZ197)-SUM($T199:DY199)),DZ183,IF(AND(DZ183&gt;0,DZ183&gt;=SUM($T197:DZ197)-SUM($T199:DY199)),SUM($T197:DZ197)-SUM($T199:DY199),0))</f>
        <v>0</v>
      </c>
      <c r="EA199" s="33">
        <f>IF(AND(EA183&gt;0,EA183&lt;SUM($T197:EA197)-SUM($T199:DZ199)),EA183,IF(AND(EA183&gt;0,EA183&gt;=SUM($T197:EA197)-SUM($T199:DZ199)),SUM($T197:EA197)-SUM($T199:DZ199),0))</f>
        <v>0</v>
      </c>
      <c r="EB199" s="33">
        <f>IF(AND(EB183&gt;0,EB183&lt;SUM($T197:EB197)-SUM($T199:EA199)),EB183,IF(AND(EB183&gt;0,EB183&gt;=SUM($T197:EB197)-SUM($T199:EA199)),SUM($T197:EB197)-SUM($T199:EA199),0))</f>
        <v>0</v>
      </c>
      <c r="EC199" s="33">
        <f>IF(AND(EC183&gt;0,EC183&lt;SUM($T197:EC197)-SUM($T199:EB199)),EC183,IF(AND(EC183&gt;0,EC183&gt;=SUM($T197:EC197)-SUM($T199:EB199)),SUM($T197:EC197)-SUM($T199:EB199),0))</f>
        <v>0</v>
      </c>
      <c r="ED199" s="33">
        <f>IF(AND(ED183&gt;0,ED183&lt;SUM($T197:ED197)-SUM($T199:EC199)),ED183,IF(AND(ED183&gt;0,ED183&gt;=SUM($T197:ED197)-SUM($T199:EC199)),SUM($T197:ED197)-SUM($T199:EC199),0))</f>
        <v>0</v>
      </c>
      <c r="EE199" s="33">
        <f>IF(AND(EE183&gt;0,EE183&lt;SUM($T197:EE197)-SUM($T199:ED199)),EE183,IF(AND(EE183&gt;0,EE183&gt;=SUM($T197:EE197)-SUM($T199:ED199)),SUM($T197:EE197)-SUM($T199:ED199),0))</f>
        <v>0</v>
      </c>
      <c r="EF199" s="33">
        <f>IF(AND(EF183&gt;0,EF183&lt;SUM($T197:EF197)-SUM($T199:EE199)),EF183,IF(AND(EF183&gt;0,EF183&gt;=SUM($T197:EF197)-SUM($T199:EE199)),SUM($T197:EF197)-SUM($T199:EE199),0))</f>
        <v>0</v>
      </c>
      <c r="EG199" s="33">
        <f>IF(AND(EG183&gt;0,EG183&lt;SUM($T197:EG197)-SUM($T199:EF199)),EG183,IF(AND(EG183&gt;0,EG183&gt;=SUM($T197:EG197)-SUM($T199:EF199)),SUM($T197:EG197)-SUM($T199:EF199),0))</f>
        <v>0</v>
      </c>
      <c r="EH199" s="33">
        <f>IF(AND(EH183&gt;0,EH183&lt;SUM($T197:EH197)-SUM($T199:EG199)),EH183,IF(AND(EH183&gt;0,EH183&gt;=SUM($T197:EH197)-SUM($T199:EG199)),SUM($T197:EH197)-SUM($T199:EG199),0))</f>
        <v>0</v>
      </c>
      <c r="EI199" s="33">
        <f>IF(AND(EI183&gt;0,EI183&lt;SUM($T197:EI197)-SUM($T199:EH199)),EI183,IF(AND(EI183&gt;0,EI183&gt;=SUM($T197:EI197)-SUM($T199:EH199)),SUM($T197:EI197)-SUM($T199:EH199),0))</f>
        <v>0</v>
      </c>
      <c r="EJ199" s="3"/>
      <c r="EK199" s="3"/>
    </row>
    <row r="200" spans="1:14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2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</row>
    <row r="201" spans="1:141" x14ac:dyDescent="0.25">
      <c r="A201" s="3"/>
      <c r="B201" s="3"/>
      <c r="C201" s="3"/>
      <c r="D201" s="3"/>
      <c r="E201" s="3"/>
      <c r="F201" s="10" t="str">
        <f>KPI!$F$192</f>
        <v>Остаток ДС с учетом овердрафта на конец периода</v>
      </c>
      <c r="G201" s="3"/>
      <c r="H201" s="3"/>
      <c r="I201" s="3"/>
      <c r="J201" s="5" t="str">
        <f>IF($F201="","",INDEX(KPI!$I$11:$I$275,SUMIFS(KPI!$E$11:$E$275,KPI!$F$11:$F$275,$F201)))</f>
        <v>тыс.руб.</v>
      </c>
      <c r="K201" s="3"/>
      <c r="L201" s="3"/>
      <c r="M201" s="3"/>
      <c r="N201" s="3"/>
      <c r="O201" s="3"/>
      <c r="P201" s="3"/>
      <c r="Q201" s="12"/>
      <c r="R201" s="3"/>
      <c r="S201" s="33"/>
      <c r="T201" s="33">
        <f>T185+T193-T199</f>
        <v>0</v>
      </c>
      <c r="U201" s="33">
        <f>T201+U183+U193-U199</f>
        <v>0</v>
      </c>
      <c r="V201" s="33">
        <f>U201+V183+V193-V199</f>
        <v>698.18682795698942</v>
      </c>
      <c r="W201" s="33">
        <f>V201+W183+W193-W199</f>
        <v>2120.157258064517</v>
      </c>
      <c r="X201" s="33">
        <f t="shared" ref="X201" si="442">W201+X183+X193-X199</f>
        <v>4650.945604476633</v>
      </c>
      <c r="Y201" s="33">
        <f>X201+Y183+Y193-Y199</f>
        <v>0</v>
      </c>
      <c r="Z201" s="33">
        <f t="shared" ref="Z201" si="443">Y201+Z183+Z193-Z199</f>
        <v>0</v>
      </c>
      <c r="AA201" s="33">
        <f t="shared" ref="AA201" si="444">Z201+AA183+AA193-AA199</f>
        <v>0</v>
      </c>
      <c r="AB201" s="33">
        <f t="shared" ref="AB201" si="445">AA201+AB183+AB193-AB199</f>
        <v>0</v>
      </c>
      <c r="AC201" s="33">
        <f t="shared" ref="AC201" si="446">AB201+AC183+AC193-AC199</f>
        <v>0</v>
      </c>
      <c r="AD201" s="33">
        <f t="shared" ref="AD201" si="447">AC201+AD183+AD193-AD199</f>
        <v>0</v>
      </c>
      <c r="AE201" s="33">
        <f t="shared" ref="AE201" si="448">AD201+AE183+AE193-AE199</f>
        <v>0</v>
      </c>
      <c r="AF201" s="33">
        <f t="shared" ref="AF201" si="449">AE201+AF183+AF193-AF199</f>
        <v>0</v>
      </c>
      <c r="AG201" s="33">
        <f t="shared" ref="AG201" si="450">AF201+AG183+AG193-AG199</f>
        <v>0</v>
      </c>
      <c r="AH201" s="33">
        <f t="shared" ref="AH201" si="451">AG201+AH183+AH193-AH199</f>
        <v>0</v>
      </c>
      <c r="AI201" s="33">
        <f t="shared" ref="AI201" si="452">AH201+AI183+AI193-AI199</f>
        <v>0</v>
      </c>
      <c r="AJ201" s="33">
        <f t="shared" ref="AJ201" si="453">AI201+AJ183+AJ193-AJ199</f>
        <v>0</v>
      </c>
      <c r="AK201" s="33">
        <f t="shared" ref="AK201" si="454">AJ201+AK183+AK193-AK199</f>
        <v>0</v>
      </c>
      <c r="AL201" s="33">
        <f t="shared" ref="AL201" si="455">AK201+AL183+AL193-AL199</f>
        <v>0</v>
      </c>
      <c r="AM201" s="33">
        <f t="shared" ref="AM201" si="456">AL201+AM183+AM193-AM199</f>
        <v>0</v>
      </c>
      <c r="AN201" s="33">
        <f t="shared" ref="AN201" si="457">AM201+AN183+AN193-AN199</f>
        <v>0</v>
      </c>
      <c r="AO201" s="33">
        <f t="shared" ref="AO201" si="458">AN201+AO183+AO193-AO199</f>
        <v>0</v>
      </c>
      <c r="AP201" s="33">
        <f t="shared" ref="AP201" si="459">AO201+AP183+AP193-AP199</f>
        <v>0</v>
      </c>
      <c r="AQ201" s="33">
        <f t="shared" ref="AQ201" si="460">AP201+AQ183+AQ193-AQ199</f>
        <v>0</v>
      </c>
      <c r="AR201" s="33">
        <f t="shared" ref="AR201" si="461">AQ201+AR183+AR193-AR199</f>
        <v>0</v>
      </c>
      <c r="AS201" s="33">
        <f t="shared" ref="AS201" si="462">AR201+AS183+AS193-AS199</f>
        <v>0</v>
      </c>
      <c r="AT201" s="33">
        <f t="shared" ref="AT201" si="463">AS201+AT183+AT193-AT199</f>
        <v>0</v>
      </c>
      <c r="AU201" s="33">
        <f t="shared" ref="AU201" si="464">AT201+AU183+AU193-AU199</f>
        <v>0</v>
      </c>
      <c r="AV201" s="33">
        <f t="shared" ref="AV201" si="465">AU201+AV183+AV193-AV199</f>
        <v>0</v>
      </c>
      <c r="AW201" s="33">
        <f t="shared" ref="AW201" si="466">AV201+AW183+AW193-AW199</f>
        <v>0</v>
      </c>
      <c r="AX201" s="33">
        <f t="shared" ref="AX201" si="467">AW201+AX183+AX193-AX199</f>
        <v>0</v>
      </c>
      <c r="AY201" s="33">
        <f t="shared" ref="AY201" si="468">AX201+AY183+AY193-AY199</f>
        <v>0</v>
      </c>
      <c r="AZ201" s="33">
        <f t="shared" ref="AZ201" si="469">AY201+AZ183+AZ193-AZ199</f>
        <v>0</v>
      </c>
      <c r="BA201" s="33">
        <f t="shared" ref="BA201" si="470">AZ201+BA183+BA193-BA199</f>
        <v>0</v>
      </c>
      <c r="BB201" s="33">
        <f t="shared" ref="BB201" si="471">BA201+BB183+BB193-BB199</f>
        <v>0</v>
      </c>
      <c r="BC201" s="33">
        <f t="shared" ref="BC201" si="472">BB201+BC183+BC193-BC199</f>
        <v>0</v>
      </c>
      <c r="BD201" s="33">
        <f t="shared" ref="BD201" si="473">BC201+BD183+BD193-BD199</f>
        <v>0</v>
      </c>
      <c r="BE201" s="33">
        <f t="shared" ref="BE201" si="474">BD201+BE183+BE193-BE199</f>
        <v>0</v>
      </c>
      <c r="BF201" s="33">
        <f t="shared" ref="BF201" si="475">BE201+BF183+BF193-BF199</f>
        <v>0</v>
      </c>
      <c r="BG201" s="33">
        <f t="shared" ref="BG201" si="476">BF201+BG183+BG193-BG199</f>
        <v>0</v>
      </c>
      <c r="BH201" s="33">
        <f t="shared" ref="BH201" si="477">BG201+BH183+BH193-BH199</f>
        <v>0</v>
      </c>
      <c r="BI201" s="33">
        <f t="shared" ref="BI201" si="478">BH201+BI183+BI193-BI199</f>
        <v>0</v>
      </c>
      <c r="BJ201" s="33">
        <f t="shared" ref="BJ201" si="479">BI201+BJ183+BJ193-BJ199</f>
        <v>0</v>
      </c>
      <c r="BK201" s="33">
        <f t="shared" ref="BK201" si="480">BJ201+BK183+BK193-BK199</f>
        <v>0</v>
      </c>
      <c r="BL201" s="33">
        <f t="shared" ref="BL201" si="481">BK201+BL183+BL193-BL199</f>
        <v>0</v>
      </c>
      <c r="BM201" s="33">
        <f t="shared" ref="BM201" si="482">BL201+BM183+BM193-BM199</f>
        <v>0</v>
      </c>
      <c r="BN201" s="33">
        <f t="shared" ref="BN201" si="483">BM201+BN183+BN193-BN199</f>
        <v>0</v>
      </c>
      <c r="BO201" s="33">
        <f t="shared" ref="BO201" si="484">BN201+BO183+BO193-BO199</f>
        <v>0</v>
      </c>
      <c r="BP201" s="33">
        <f t="shared" ref="BP201" si="485">BO201+BP183+BP193-BP199</f>
        <v>0</v>
      </c>
      <c r="BQ201" s="33">
        <f t="shared" ref="BQ201" si="486">BP201+BQ183+BQ193-BQ199</f>
        <v>0</v>
      </c>
      <c r="BR201" s="33">
        <f t="shared" ref="BR201" si="487">BQ201+BR183+BR193-BR199</f>
        <v>0</v>
      </c>
      <c r="BS201" s="33">
        <f t="shared" ref="BS201" si="488">BR201+BS183+BS193-BS199</f>
        <v>0</v>
      </c>
      <c r="BT201" s="33">
        <f t="shared" ref="BT201" si="489">BS201+BT183+BT193-BT199</f>
        <v>0</v>
      </c>
      <c r="BU201" s="33">
        <f t="shared" ref="BU201" si="490">BT201+BU183+BU193-BU199</f>
        <v>0</v>
      </c>
      <c r="BV201" s="33">
        <f t="shared" ref="BV201" si="491">BU201+BV183+BV193-BV199</f>
        <v>0</v>
      </c>
      <c r="BW201" s="33">
        <f t="shared" ref="BW201" si="492">BV201+BW183+BW193-BW199</f>
        <v>0</v>
      </c>
      <c r="BX201" s="33">
        <f t="shared" ref="BX201" si="493">BW201+BX183+BX193-BX199</f>
        <v>0</v>
      </c>
      <c r="BY201" s="33">
        <f t="shared" ref="BY201" si="494">BX201+BY183+BY193-BY199</f>
        <v>0</v>
      </c>
      <c r="BZ201" s="33">
        <f t="shared" ref="BZ201" si="495">BY201+BZ183+BZ193-BZ199</f>
        <v>0</v>
      </c>
      <c r="CA201" s="33">
        <f t="shared" ref="CA201" si="496">BZ201+CA183+CA193-CA199</f>
        <v>0</v>
      </c>
      <c r="CB201" s="33">
        <f t="shared" ref="CB201" si="497">CA201+CB183+CB193-CB199</f>
        <v>0</v>
      </c>
      <c r="CC201" s="33">
        <f t="shared" ref="CC201" si="498">CB201+CC183+CC193-CC199</f>
        <v>0</v>
      </c>
      <c r="CD201" s="33">
        <f t="shared" ref="CD201" si="499">CC201+CD183+CD193-CD199</f>
        <v>0</v>
      </c>
      <c r="CE201" s="33">
        <f t="shared" ref="CE201" si="500">CD201+CE183+CE193-CE199</f>
        <v>0</v>
      </c>
      <c r="CF201" s="33">
        <f t="shared" ref="CF201" si="501">CE201+CF183+CF193-CF199</f>
        <v>0</v>
      </c>
      <c r="CG201" s="33">
        <f t="shared" ref="CG201" si="502">CF201+CG183+CG193-CG199</f>
        <v>0</v>
      </c>
      <c r="CH201" s="33">
        <f t="shared" ref="CH201" si="503">CG201+CH183+CH193-CH199</f>
        <v>0</v>
      </c>
      <c r="CI201" s="33">
        <f t="shared" ref="CI201" si="504">CH201+CI183+CI193-CI199</f>
        <v>0</v>
      </c>
      <c r="CJ201" s="33">
        <f t="shared" ref="CJ201" si="505">CI201+CJ183+CJ193-CJ199</f>
        <v>0</v>
      </c>
      <c r="CK201" s="33">
        <f t="shared" ref="CK201" si="506">CJ201+CK183+CK193-CK199</f>
        <v>0</v>
      </c>
      <c r="CL201" s="33">
        <f t="shared" ref="CL201" si="507">CK201+CL183+CL193-CL199</f>
        <v>0</v>
      </c>
      <c r="CM201" s="33">
        <f t="shared" ref="CM201" si="508">CL201+CM183+CM193-CM199</f>
        <v>0</v>
      </c>
      <c r="CN201" s="33">
        <f t="shared" ref="CN201" si="509">CM201+CN183+CN193-CN199</f>
        <v>0</v>
      </c>
      <c r="CO201" s="33">
        <f t="shared" ref="CO201" si="510">CN201+CO183+CO193-CO199</f>
        <v>0</v>
      </c>
      <c r="CP201" s="33">
        <f t="shared" ref="CP201" si="511">CO201+CP183+CP193-CP199</f>
        <v>0</v>
      </c>
      <c r="CQ201" s="33">
        <f t="shared" ref="CQ201" si="512">CP201+CQ183+CQ193-CQ199</f>
        <v>0</v>
      </c>
      <c r="CR201" s="33">
        <f t="shared" ref="CR201" si="513">CQ201+CR183+CR193-CR199</f>
        <v>0</v>
      </c>
      <c r="CS201" s="33">
        <f t="shared" ref="CS201" si="514">CR201+CS183+CS193-CS199</f>
        <v>0</v>
      </c>
      <c r="CT201" s="33">
        <f t="shared" ref="CT201" si="515">CS201+CT183+CT193-CT199</f>
        <v>0</v>
      </c>
      <c r="CU201" s="33">
        <f t="shared" ref="CU201" si="516">CT201+CU183+CU193-CU199</f>
        <v>0</v>
      </c>
      <c r="CV201" s="33">
        <f t="shared" ref="CV201" si="517">CU201+CV183+CV193-CV199</f>
        <v>0</v>
      </c>
      <c r="CW201" s="33">
        <f t="shared" ref="CW201" si="518">CV201+CW183+CW193-CW199</f>
        <v>92433.050877285132</v>
      </c>
      <c r="CX201" s="33">
        <f t="shared" ref="CX201" si="519">CW201+CX183+CX193-CX199</f>
        <v>0</v>
      </c>
      <c r="CY201" s="33">
        <f t="shared" ref="CY201" si="520">CX201+CY183+CY193-CY199</f>
        <v>9937.8169854377047</v>
      </c>
      <c r="CZ201" s="33">
        <f t="shared" ref="CZ201" si="521">CY201+CZ183+CZ193-CZ199</f>
        <v>53855.718517458023</v>
      </c>
      <c r="DA201" s="33">
        <f t="shared" ref="DA201" si="522">CZ201+DA183+DA193-DA199</f>
        <v>152731.84492737777</v>
      </c>
      <c r="DB201" s="33">
        <f t="shared" ref="DB201" si="523">DA201+DB183+DB193-DB199</f>
        <v>0</v>
      </c>
      <c r="DC201" s="33">
        <f t="shared" ref="DC201" si="524">DB201+DC183+DC193-DC199</f>
        <v>29162.471776470687</v>
      </c>
      <c r="DD201" s="33">
        <f t="shared" ref="DD201" si="525">DC201+DD183+DD193-DD199</f>
        <v>66071.540060836298</v>
      </c>
      <c r="DE201" s="33">
        <f t="shared" ref="DE201" si="526">DD201+DE183+DE193-DE199</f>
        <v>130306.72131717247</v>
      </c>
      <c r="DF201" s="33">
        <f t="shared" ref="DF201" si="527">DE201+DF183+DF193-DF199</f>
        <v>209044.29700319527</v>
      </c>
      <c r="DG201" s="33">
        <f t="shared" ref="DG201" si="528">DF201+DG183+DG193-DG199</f>
        <v>208650.16497235134</v>
      </c>
      <c r="DH201" s="33">
        <f t="shared" ref="DH201" si="529">DG201+DH183+DH193-DH199</f>
        <v>69620.945797400258</v>
      </c>
      <c r="DI201" s="33">
        <f t="shared" ref="DI201" si="530">DH201+DI183+DI193-DI199</f>
        <v>300144.77226816257</v>
      </c>
      <c r="DJ201" s="33">
        <f t="shared" ref="DJ201" si="531">DI201+DJ183+DJ193-DJ199</f>
        <v>143042.22590145929</v>
      </c>
      <c r="DK201" s="33">
        <f t="shared" ref="DK201" si="532">DJ201+DK183+DK193-DK199</f>
        <v>124826.27616073124</v>
      </c>
      <c r="DL201" s="33">
        <f t="shared" ref="DL201" si="533">DK201+DL183+DL193-DL199</f>
        <v>177856.1260176794</v>
      </c>
      <c r="DM201" s="33">
        <f t="shared" ref="DM201" si="534">DL201+DM183+DM193-DM199</f>
        <v>283988.89352394943</v>
      </c>
      <c r="DN201" s="33">
        <f t="shared" ref="DN201" si="535">DM201+DN183+DN193-DN199</f>
        <v>231550.6430433967</v>
      </c>
      <c r="DO201" s="33">
        <f t="shared" ref="DO201" si="536">DN201+DO183+DO193-DO199</f>
        <v>356150.93217568781</v>
      </c>
      <c r="DP201" s="33">
        <f t="shared" ref="DP201" si="537">DO201+DP183+DP193-DP199</f>
        <v>182284.71383024775</v>
      </c>
      <c r="DQ201" s="33">
        <f t="shared" ref="DQ201" si="538">DP201+DQ183+DQ193-DQ199</f>
        <v>253359.95196927447</v>
      </c>
      <c r="DR201" s="33">
        <f t="shared" ref="DR201" si="539">DQ201+DR183+DR193-DR199</f>
        <v>335653.67584128736</v>
      </c>
      <c r="DS201" s="33">
        <f t="shared" ref="DS201" si="540">DR201+DS183+DS193-DS199</f>
        <v>429976.61049965344</v>
      </c>
      <c r="DT201" s="33">
        <f t="shared" ref="DT201" si="541">DS201+DT183+DT193-DT199</f>
        <v>281799.17779280088</v>
      </c>
      <c r="DU201" s="33">
        <f t="shared" ref="DU201" si="542">DT201+DU183+DU193-DU199</f>
        <v>502492.82118851156</v>
      </c>
      <c r="DV201" s="33">
        <f t="shared" ref="DV201" si="543">DU201+DV183+DV193-DV199</f>
        <v>316759.59027718159</v>
      </c>
      <c r="DW201" s="33">
        <f t="shared" ref="DW201" si="544">DV201+DW183+DW193-DW199</f>
        <v>531481.8731953348</v>
      </c>
      <c r="DX201" s="33">
        <f t="shared" ref="DX201" si="545">DW201+DX183+DX193-DX199</f>
        <v>392897.71563919319</v>
      </c>
      <c r="DY201" s="33">
        <f t="shared" ref="DY201" si="546">DX201+DY183+DY193-DY199</f>
        <v>504742.83536735788</v>
      </c>
      <c r="DZ201" s="33">
        <f t="shared" ref="DZ201" si="547">DY201+DZ183+DZ193-DZ199</f>
        <v>268462.90444945428</v>
      </c>
      <c r="EA201" s="33">
        <f t="shared" ref="EA201" si="548">DZ201+EA183+EA193-EA199</f>
        <v>396704.84235245752</v>
      </c>
      <c r="EB201" s="33">
        <f t="shared" ref="EB201" si="549">EA201+EB183+EB193-EB199</f>
        <v>415163.29916769842</v>
      </c>
      <c r="EC201" s="33">
        <f t="shared" ref="EC201" si="550">EB201+EC183+EC193-EC199</f>
        <v>489561.13598848257</v>
      </c>
      <c r="ED201" s="33">
        <f t="shared" ref="ED201" si="551">EC201+ED183+ED193-ED199</f>
        <v>580780.41990754195</v>
      </c>
      <c r="EE201" s="33">
        <f t="shared" ref="EE201" si="552">ED201+EE183+EE193-EE199</f>
        <v>690213.48484586587</v>
      </c>
      <c r="EF201" s="33">
        <f t="shared" ref="EF201" si="553">EE201+EF183+EF193-EF199</f>
        <v>395521.64835202799</v>
      </c>
      <c r="EG201" s="33">
        <f t="shared" ref="EG201" si="554">EF201+EG183+EG193-EG199</f>
        <v>592497.04734767438</v>
      </c>
      <c r="EH201" s="33">
        <f t="shared" ref="EH201" si="555">EG201+EH183+EH193-EH199</f>
        <v>890695.94556948903</v>
      </c>
      <c r="EI201" s="33">
        <f t="shared" ref="EI201" si="556">EH201+EI183+EI193-EI199</f>
        <v>414711.01729000401</v>
      </c>
      <c r="EJ201" s="3"/>
      <c r="EK201" s="3"/>
    </row>
    <row r="202" spans="1:14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2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</row>
    <row r="203" spans="1:141" x14ac:dyDescent="0.25">
      <c r="A203" s="3"/>
      <c r="B203" s="3"/>
      <c r="C203" s="3"/>
      <c r="D203" s="3"/>
      <c r="E203" s="3"/>
      <c r="F203" s="10" t="str">
        <f>KPI!$F$193</f>
        <v>Начислено процентов по овердрафту на конец периода</v>
      </c>
      <c r="G203" s="3"/>
      <c r="H203" s="3"/>
      <c r="I203" s="3"/>
      <c r="J203" s="5" t="str">
        <f>IF($F203="","",INDEX(KPI!$I$11:$I$275,SUMIFS(KPI!$E$11:$E$275,KPI!$F$11:$F$275,$F203)))</f>
        <v>тыс.руб.</v>
      </c>
      <c r="K203" s="3"/>
      <c r="L203" s="3"/>
      <c r="M203" s="3"/>
      <c r="N203" s="3"/>
      <c r="O203" s="3"/>
      <c r="P203" s="3"/>
      <c r="Q203" s="12"/>
      <c r="R203" s="3"/>
      <c r="S203" s="33"/>
      <c r="T203" s="33">
        <f>SUM($T197:T197)-SUM($T199:T199)</f>
        <v>5.6137096774193544</v>
      </c>
      <c r="U203" s="33">
        <f>SUM($T197:U197)-SUM($T199:U199)</f>
        <v>26.116666666666664</v>
      </c>
      <c r="V203" s="33">
        <f>SUM($T197:V197)-SUM($T199:V199)</f>
        <v>0</v>
      </c>
      <c r="W203" s="33">
        <f>SUM($T197:W197)-SUM($T199:W199)</f>
        <v>0</v>
      </c>
      <c r="X203" s="33">
        <f>SUM($T197:X197)-SUM($T199:X199)</f>
        <v>0</v>
      </c>
      <c r="Y203" s="33">
        <f>SUM($T197:Y197)-SUM($T199:Y199)</f>
        <v>68.206238553096284</v>
      </c>
      <c r="Z203" s="33">
        <f>SUM($T197:Z197)-SUM($T199:Z199)</f>
        <v>142.93744897479371</v>
      </c>
      <c r="AA203" s="33">
        <f>SUM($T197:AA197)-SUM($T199:AA199)</f>
        <v>262.18205613915245</v>
      </c>
      <c r="AB203" s="33">
        <f>SUM($T197:AB197)-SUM($T199:AB199)</f>
        <v>240.15964243071954</v>
      </c>
      <c r="AC203" s="33">
        <f>SUM($T197:AC197)-SUM($T199:AC199)</f>
        <v>401.6122980736863</v>
      </c>
      <c r="AD203" s="33">
        <f>SUM($T197:AD197)-SUM($T199:AD199)</f>
        <v>0</v>
      </c>
      <c r="AE203" s="33">
        <f>SUM($T197:AE197)-SUM($T199:AE199)</f>
        <v>262.07660138024789</v>
      </c>
      <c r="AF203" s="33">
        <f>SUM($T197:AF197)-SUM($T199:AF199)</f>
        <v>0</v>
      </c>
      <c r="AG203" s="33">
        <f>SUM($T197:AG197)-SUM($T199:AG199)</f>
        <v>481.62749591287024</v>
      </c>
      <c r="AH203" s="33">
        <f>SUM($T197:AH197)-SUM($T199:AH199)</f>
        <v>0</v>
      </c>
      <c r="AI203" s="33">
        <f>SUM($T197:AI197)-SUM($T199:AI199)</f>
        <v>485.15207986786436</v>
      </c>
      <c r="AJ203" s="33">
        <f>SUM($T197:AJ197)-SUM($T199:AJ199)</f>
        <v>967.62961983893456</v>
      </c>
      <c r="AK203" s="33">
        <f>SUM($T197:AK197)-SUM($T199:AK199)</f>
        <v>1495.3687953771851</v>
      </c>
      <c r="AL203" s="33">
        <f>SUM($T197:AL197)-SUM($T199:AL199)</f>
        <v>2098.6321363982024</v>
      </c>
      <c r="AM203" s="33">
        <f>SUM($T197:AM197)-SUM($T199:AM199)</f>
        <v>2737.1037931118044</v>
      </c>
      <c r="AN203" s="33">
        <f>SUM($T197:AN197)-SUM($T199:AN199)</f>
        <v>3525.5523455286848</v>
      </c>
      <c r="AO203" s="33">
        <f>SUM($T197:AO197)-SUM($T199:AO199)</f>
        <v>4372.2860925986843</v>
      </c>
      <c r="AP203" s="33">
        <f>SUM($T197:AP197)-SUM($T199:AP199)</f>
        <v>0</v>
      </c>
      <c r="AQ203" s="33">
        <f>SUM($T197:AQ197)-SUM($T199:AQ199)</f>
        <v>1212.0208376729479</v>
      </c>
      <c r="AR203" s="33">
        <f>SUM($T197:AR197)-SUM($T199:AR199)</f>
        <v>0</v>
      </c>
      <c r="AS203" s="33">
        <f>SUM($T197:AS197)-SUM($T199:AS199)</f>
        <v>1003.5216175711594</v>
      </c>
      <c r="AT203" s="33">
        <f>SUM($T197:AT197)-SUM($T199:AT199)</f>
        <v>0</v>
      </c>
      <c r="AU203" s="33">
        <f>SUM($T197:AU197)-SUM($T199:AU199)</f>
        <v>1120.7781484062471</v>
      </c>
      <c r="AV203" s="33">
        <f>SUM($T197:AV197)-SUM($T199:AV199)</f>
        <v>0</v>
      </c>
      <c r="AW203" s="33">
        <f>SUM($T197:AW197)-SUM($T199:AW199)</f>
        <v>0</v>
      </c>
      <c r="AX203" s="33">
        <f>SUM($T197:AX197)-SUM($T199:AX199)</f>
        <v>0</v>
      </c>
      <c r="AY203" s="33">
        <f>SUM($T197:AY197)-SUM($T199:AY199)</f>
        <v>1108.665237994479</v>
      </c>
      <c r="AZ203" s="33">
        <f>SUM($T197:AZ197)-SUM($T199:AZ199)</f>
        <v>2471.5159064570689</v>
      </c>
      <c r="BA203" s="33">
        <f>SUM($T197:BA197)-SUM($T199:BA199)</f>
        <v>3883.274619296335</v>
      </c>
      <c r="BB203" s="33">
        <f>SUM($T197:BB197)-SUM($T199:BB199)</f>
        <v>0</v>
      </c>
      <c r="BC203" s="33">
        <f>SUM($T197:BC197)-SUM($T199:BC199)</f>
        <v>1839.238152222486</v>
      </c>
      <c r="BD203" s="33">
        <f>SUM($T197:BD197)-SUM($T199:BD199)</f>
        <v>0</v>
      </c>
      <c r="BE203" s="33">
        <f>SUM($T197:BE197)-SUM($T199:BE199)</f>
        <v>0</v>
      </c>
      <c r="BF203" s="33">
        <f>SUM($T197:BF197)-SUM($T199:BF199)</f>
        <v>0</v>
      </c>
      <c r="BG203" s="33">
        <f>SUM($T197:BG197)-SUM($T199:BG199)</f>
        <v>1678.1465341438561</v>
      </c>
      <c r="BH203" s="33">
        <f>SUM($T197:BH197)-SUM($T199:BH199)</f>
        <v>0</v>
      </c>
      <c r="BI203" s="33">
        <f>SUM($T197:BI197)-SUM($T199:BI199)</f>
        <v>0</v>
      </c>
      <c r="BJ203" s="33">
        <f>SUM($T197:BJ197)-SUM($T199:BJ199)</f>
        <v>1541.9912839723474</v>
      </c>
      <c r="BK203" s="33">
        <f>SUM($T197:BK197)-SUM($T199:BK199)</f>
        <v>0</v>
      </c>
      <c r="BL203" s="33">
        <f>SUM($T197:BL197)-SUM($T199:BL199)</f>
        <v>1904.8300182927342</v>
      </c>
      <c r="BM203" s="33">
        <f>SUM($T197:BM197)-SUM($T199:BM199)</f>
        <v>0</v>
      </c>
      <c r="BN203" s="33">
        <f>SUM($T197:BN197)-SUM($T199:BN199)</f>
        <v>2515.4820223066854</v>
      </c>
      <c r="BO203" s="33">
        <f>SUM($T197:BO197)-SUM($T199:BO199)</f>
        <v>0</v>
      </c>
      <c r="BP203" s="33">
        <f>SUM($T197:BP197)-SUM($T199:BP199)</f>
        <v>0</v>
      </c>
      <c r="BQ203" s="33">
        <f>SUM($T197:BQ197)-SUM($T199:BQ199)</f>
        <v>0</v>
      </c>
      <c r="BR203" s="33">
        <f>SUM($T197:BR197)-SUM($T199:BR199)</f>
        <v>2195.1618577607223</v>
      </c>
      <c r="BS203" s="33">
        <f>SUM($T197:BS197)-SUM($T199:BS199)</f>
        <v>0</v>
      </c>
      <c r="BT203" s="33">
        <f>SUM($T197:BT197)-SUM($T199:BT199)</f>
        <v>2020.3850805900074</v>
      </c>
      <c r="BU203" s="33">
        <f>SUM($T197:BU197)-SUM($T199:BU199)</f>
        <v>0</v>
      </c>
      <c r="BV203" s="33">
        <f>SUM($T197:BV197)-SUM($T199:BV199)</f>
        <v>1917.9568877750789</v>
      </c>
      <c r="BW203" s="33">
        <f>SUM($T197:BW197)-SUM($T199:BW199)</f>
        <v>0</v>
      </c>
      <c r="BX203" s="33">
        <f>SUM($T197:BX197)-SUM($T199:BX199)</f>
        <v>2107.8557234958935</v>
      </c>
      <c r="BY203" s="33">
        <f>SUM($T197:BY197)-SUM($T199:BY199)</f>
        <v>0</v>
      </c>
      <c r="BZ203" s="33">
        <f>SUM($T197:BZ197)-SUM($T199:BZ199)</f>
        <v>2396.9876585409656</v>
      </c>
      <c r="CA203" s="33">
        <f>SUM($T197:CA197)-SUM($T199:CA199)</f>
        <v>0</v>
      </c>
      <c r="CB203" s="33">
        <f>SUM($T197:CB197)-SUM($T199:CB199)</f>
        <v>0</v>
      </c>
      <c r="CC203" s="33">
        <f>SUM($T197:CC197)-SUM($T199:CC199)</f>
        <v>0</v>
      </c>
      <c r="CD203" s="33">
        <f>SUM($T197:CD197)-SUM($T199:CD199)</f>
        <v>2710.1612561739748</v>
      </c>
      <c r="CE203" s="33">
        <f>SUM($T197:CE197)-SUM($T199:CE199)</f>
        <v>0</v>
      </c>
      <c r="CF203" s="33">
        <f>SUM($T197:CF197)-SUM($T199:CF199)</f>
        <v>0</v>
      </c>
      <c r="CG203" s="33">
        <f>SUM($T197:CG197)-SUM($T199:CG199)</f>
        <v>0</v>
      </c>
      <c r="CH203" s="33">
        <f>SUM($T197:CH197)-SUM($T199:CH199)</f>
        <v>0</v>
      </c>
      <c r="CI203" s="33">
        <f>SUM($T197:CI197)-SUM($T199:CI199)</f>
        <v>0</v>
      </c>
      <c r="CJ203" s="33">
        <f>SUM($T197:CJ197)-SUM($T199:CJ199)</f>
        <v>1991.6911284486123</v>
      </c>
      <c r="CK203" s="33">
        <f>SUM($T197:CK197)-SUM($T199:CK199)</f>
        <v>0</v>
      </c>
      <c r="CL203" s="33">
        <f>SUM($T197:CL197)-SUM($T199:CL199)</f>
        <v>1620.3123014384037</v>
      </c>
      <c r="CM203" s="33">
        <f>SUM($T197:CM197)-SUM($T199:CM199)</f>
        <v>3525.4831305577682</v>
      </c>
      <c r="CN203" s="33">
        <f>SUM($T197:CN197)-SUM($T199:CN199)</f>
        <v>0</v>
      </c>
      <c r="CO203" s="33">
        <f>SUM($T197:CO197)-SUM($T199:CO199)</f>
        <v>0</v>
      </c>
      <c r="CP203" s="33">
        <f>SUM($T197:CP197)-SUM($T199:CP199)</f>
        <v>998.06355203417479</v>
      </c>
      <c r="CQ203" s="33">
        <f>SUM($T197:CQ197)-SUM($T199:CQ199)</f>
        <v>0</v>
      </c>
      <c r="CR203" s="33">
        <f>SUM($T197:CR197)-SUM($T199:CR199)</f>
        <v>1530.2299863091757</v>
      </c>
      <c r="CS203" s="33">
        <f>SUM($T197:CS197)-SUM($T199:CS199)</f>
        <v>0</v>
      </c>
      <c r="CT203" s="33">
        <f>SUM($T197:CT197)-SUM($T199:CT199)</f>
        <v>0</v>
      </c>
      <c r="CU203" s="33">
        <f>SUM($T197:CU197)-SUM($T199:CU199)</f>
        <v>0</v>
      </c>
      <c r="CV203" s="33">
        <f>SUM($T197:CV197)-SUM($T199:CV199)</f>
        <v>619.85538474006171</v>
      </c>
      <c r="CW203" s="33">
        <f>SUM($T197:CW197)-SUM($T199:CW199)</f>
        <v>0</v>
      </c>
      <c r="CX203" s="33">
        <f>SUM($T197:CX197)-SUM($T199:CX199)</f>
        <v>1135.4010691923759</v>
      </c>
      <c r="CY203" s="33">
        <f>SUM($T197:CY197)-SUM($T199:CY199)</f>
        <v>0</v>
      </c>
      <c r="CZ203" s="33">
        <f>SUM($T197:CZ197)-SUM($T199:CZ199)</f>
        <v>0</v>
      </c>
      <c r="DA203" s="33">
        <f>SUM($T197:DA197)-SUM($T199:DA199)</f>
        <v>0</v>
      </c>
      <c r="DB203" s="33">
        <f>SUM($T197:DB197)-SUM($T199:DB199)</f>
        <v>699.62021406499844</v>
      </c>
      <c r="DC203" s="33">
        <f>SUM($T197:DC197)-SUM($T199:DC199)</f>
        <v>0</v>
      </c>
      <c r="DD203" s="33">
        <f>SUM($T197:DD197)-SUM($T199:DD199)</f>
        <v>0</v>
      </c>
      <c r="DE203" s="33">
        <f>SUM($T197:DE197)-SUM($T199:DE199)</f>
        <v>0</v>
      </c>
      <c r="DF203" s="33">
        <f>SUM($T197:DF197)-SUM($T199:DF199)</f>
        <v>0</v>
      </c>
      <c r="DG203" s="33">
        <f>SUM($T197:DG197)-SUM($T199:DG199)</f>
        <v>0</v>
      </c>
      <c r="DH203" s="33">
        <f>SUM($T197:DH197)-SUM($T199:DH199)</f>
        <v>0</v>
      </c>
      <c r="DI203" s="33">
        <f>SUM($T197:DI197)-SUM($T199:DI199)</f>
        <v>0</v>
      </c>
      <c r="DJ203" s="33">
        <f>SUM($T197:DJ197)-SUM($T199:DJ199)</f>
        <v>0</v>
      </c>
      <c r="DK203" s="33">
        <f>SUM($T197:DK197)-SUM($T199:DK199)</f>
        <v>0</v>
      </c>
      <c r="DL203" s="33">
        <f>SUM($T197:DL197)-SUM($T199:DL199)</f>
        <v>0</v>
      </c>
      <c r="DM203" s="33">
        <f>SUM($T197:DM197)-SUM($T199:DM199)</f>
        <v>0</v>
      </c>
      <c r="DN203" s="33">
        <f>SUM($T197:DN197)-SUM($T199:DN199)</f>
        <v>0</v>
      </c>
      <c r="DO203" s="33">
        <f>SUM($T197:DO197)-SUM($T199:DO199)</f>
        <v>0</v>
      </c>
      <c r="DP203" s="33">
        <f>SUM($T197:DP197)-SUM($T199:DP199)</f>
        <v>0</v>
      </c>
      <c r="DQ203" s="33">
        <f>SUM($T197:DQ197)-SUM($T199:DQ199)</f>
        <v>0</v>
      </c>
      <c r="DR203" s="33">
        <f>SUM($T197:DR197)-SUM($T199:DR199)</f>
        <v>0</v>
      </c>
      <c r="DS203" s="33">
        <f>SUM($T197:DS197)-SUM($T199:DS199)</f>
        <v>0</v>
      </c>
      <c r="DT203" s="33">
        <f>SUM($T197:DT197)-SUM($T199:DT199)</f>
        <v>0</v>
      </c>
      <c r="DU203" s="33">
        <f>SUM($T197:DU197)-SUM($T199:DU199)</f>
        <v>0</v>
      </c>
      <c r="DV203" s="33">
        <f>SUM($T197:DV197)-SUM($T199:DV199)</f>
        <v>0</v>
      </c>
      <c r="DW203" s="33">
        <f>SUM($T197:DW197)-SUM($T199:DW199)</f>
        <v>0</v>
      </c>
      <c r="DX203" s="33">
        <f>SUM($T197:DX197)-SUM($T199:DX199)</f>
        <v>0</v>
      </c>
      <c r="DY203" s="33">
        <f>SUM($T197:DY197)-SUM($T199:DY199)</f>
        <v>0</v>
      </c>
      <c r="DZ203" s="33">
        <f>SUM($T197:DZ197)-SUM($T199:DZ199)</f>
        <v>0</v>
      </c>
      <c r="EA203" s="33">
        <f>SUM($T197:EA197)-SUM($T199:EA199)</f>
        <v>0</v>
      </c>
      <c r="EB203" s="33">
        <f>SUM($T197:EB197)-SUM($T199:EB199)</f>
        <v>0</v>
      </c>
      <c r="EC203" s="33">
        <f>SUM($T197:EC197)-SUM($T199:EC199)</f>
        <v>0</v>
      </c>
      <c r="ED203" s="33">
        <f>SUM($T197:ED197)-SUM($T199:ED199)</f>
        <v>0</v>
      </c>
      <c r="EE203" s="33">
        <f>SUM($T197:EE197)-SUM($T199:EE199)</f>
        <v>0</v>
      </c>
      <c r="EF203" s="33">
        <f>SUM($T197:EF197)-SUM($T199:EF199)</f>
        <v>0</v>
      </c>
      <c r="EG203" s="33">
        <f>SUM($T197:EG197)-SUM($T199:EG199)</f>
        <v>0</v>
      </c>
      <c r="EH203" s="33">
        <f>SUM($T197:EH197)-SUM($T199:EH199)</f>
        <v>0</v>
      </c>
      <c r="EI203" s="33">
        <f>SUM($T197:EI197)-SUM($T199:EI199)</f>
        <v>0</v>
      </c>
      <c r="EJ203" s="3"/>
      <c r="EK203" s="3"/>
    </row>
    <row r="204" spans="1:14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2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</row>
    <row r="205" spans="1:141" x14ac:dyDescent="0.25">
      <c r="A205" s="3"/>
      <c r="B205" s="3"/>
      <c r="C205" s="3"/>
      <c r="D205" s="3"/>
      <c r="E205" s="3"/>
      <c r="F205" s="10" t="str">
        <f>KPI!$F$194</f>
        <v>расходы на ТО производства</v>
      </c>
      <c r="G205" s="3"/>
      <c r="H205" s="3"/>
      <c r="I205" s="3"/>
      <c r="J205" s="5" t="str">
        <f>IF($F205="","",INDEX(KPI!$I$11:$I$275,SUMIFS(KPI!$E$11:$E$275,KPI!$F$11:$F$275,$F205)))</f>
        <v>тыс.руб.</v>
      </c>
      <c r="K205" s="3"/>
      <c r="L205" s="3"/>
      <c r="M205" s="3"/>
      <c r="N205" s="3"/>
      <c r="O205" s="3"/>
      <c r="P205" s="3"/>
      <c r="Q205" s="12">
        <f>SUM(S205:EJ205)</f>
        <v>75321.390841192042</v>
      </c>
      <c r="R205" s="3"/>
      <c r="S205" s="55"/>
      <c r="T205" s="33">
        <f>T77+T79</f>
        <v>0</v>
      </c>
      <c r="U205" s="33">
        <f t="shared" ref="U205:CF205" si="557">U77+U79</f>
        <v>0</v>
      </c>
      <c r="V205" s="33">
        <f t="shared" si="557"/>
        <v>70</v>
      </c>
      <c r="W205" s="33">
        <f t="shared" si="557"/>
        <v>70</v>
      </c>
      <c r="X205" s="33">
        <f t="shared" si="557"/>
        <v>153.52670967741935</v>
      </c>
      <c r="Y205" s="33">
        <f t="shared" si="557"/>
        <v>140</v>
      </c>
      <c r="Z205" s="33">
        <f t="shared" si="557"/>
        <v>141.11875806451613</v>
      </c>
      <c r="AA205" s="33">
        <f t="shared" si="557"/>
        <v>148.90229677419356</v>
      </c>
      <c r="AB205" s="33">
        <f t="shared" si="557"/>
        <v>147.76610967741937</v>
      </c>
      <c r="AC205" s="33">
        <f t="shared" si="557"/>
        <v>153.09397419354838</v>
      </c>
      <c r="AD205" s="33">
        <f t="shared" si="557"/>
        <v>154.3138129032258</v>
      </c>
      <c r="AE205" s="33">
        <f t="shared" si="557"/>
        <v>144.79612903225808</v>
      </c>
      <c r="AF205" s="33">
        <f t="shared" si="557"/>
        <v>178.70880412903227</v>
      </c>
      <c r="AG205" s="33">
        <f t="shared" si="557"/>
        <v>151.50826012903227</v>
      </c>
      <c r="AH205" s="33">
        <f t="shared" si="557"/>
        <v>176.58400516129032</v>
      </c>
      <c r="AI205" s="33">
        <f t="shared" si="557"/>
        <v>154.80717749677419</v>
      </c>
      <c r="AJ205" s="33">
        <f t="shared" si="557"/>
        <v>154.99453109677421</v>
      </c>
      <c r="AK205" s="33">
        <f t="shared" si="557"/>
        <v>154.04034312258062</v>
      </c>
      <c r="AL205" s="33">
        <f t="shared" si="557"/>
        <v>155.94941274838709</v>
      </c>
      <c r="AM205" s="33">
        <f t="shared" si="557"/>
        <v>164.38869223225805</v>
      </c>
      <c r="AN205" s="33">
        <f t="shared" si="557"/>
        <v>182.95189883870967</v>
      </c>
      <c r="AO205" s="33">
        <f t="shared" si="557"/>
        <v>180.88880681290323</v>
      </c>
      <c r="AP205" s="33">
        <f t="shared" si="557"/>
        <v>209.88654327741935</v>
      </c>
      <c r="AQ205" s="33">
        <f t="shared" si="557"/>
        <v>146.87087483870968</v>
      </c>
      <c r="AR205" s="33">
        <f t="shared" si="557"/>
        <v>247.66163158709676</v>
      </c>
      <c r="AS205" s="33">
        <f t="shared" si="557"/>
        <v>177.85558668387097</v>
      </c>
      <c r="AT205" s="33">
        <f t="shared" si="557"/>
        <v>241.1312454193548</v>
      </c>
      <c r="AU205" s="33">
        <f t="shared" si="557"/>
        <v>187.38012044387102</v>
      </c>
      <c r="AV205" s="33">
        <f t="shared" si="557"/>
        <v>178.80976020645159</v>
      </c>
      <c r="AW205" s="33">
        <f t="shared" si="557"/>
        <v>185.17622866580649</v>
      </c>
      <c r="AX205" s="33">
        <f t="shared" si="557"/>
        <v>181.53180415999998</v>
      </c>
      <c r="AY205" s="33">
        <f t="shared" si="557"/>
        <v>215.02945147870969</v>
      </c>
      <c r="AZ205" s="33">
        <f t="shared" si="557"/>
        <v>259.17275053419348</v>
      </c>
      <c r="BA205" s="33">
        <f t="shared" si="557"/>
        <v>262.17105787870969</v>
      </c>
      <c r="BB205" s="33">
        <f t="shared" si="557"/>
        <v>335.21593525677412</v>
      </c>
      <c r="BC205" s="33">
        <f t="shared" si="557"/>
        <v>164.51218993548395</v>
      </c>
      <c r="BD205" s="33">
        <f t="shared" si="557"/>
        <v>318.77008966193546</v>
      </c>
      <c r="BE205" s="33">
        <f t="shared" si="557"/>
        <v>252.06548047483886</v>
      </c>
      <c r="BF205" s="33">
        <f t="shared" si="557"/>
        <v>323.8616347977752</v>
      </c>
      <c r="BG205" s="33">
        <f t="shared" si="557"/>
        <v>262.37070151304135</v>
      </c>
      <c r="BH205" s="33">
        <f t="shared" si="557"/>
        <v>195.44416451630687</v>
      </c>
      <c r="BI205" s="33">
        <f t="shared" si="557"/>
        <v>257.72870034466763</v>
      </c>
      <c r="BJ205" s="33">
        <f t="shared" si="557"/>
        <v>200.98602438841363</v>
      </c>
      <c r="BK205" s="33">
        <f t="shared" si="557"/>
        <v>319.54215833656974</v>
      </c>
      <c r="BL205" s="33">
        <f t="shared" si="557"/>
        <v>360.75869737475404</v>
      </c>
      <c r="BM205" s="33">
        <f t="shared" si="557"/>
        <v>417.49527935743743</v>
      </c>
      <c r="BN205" s="33">
        <f t="shared" si="557"/>
        <v>516.63302210391976</v>
      </c>
      <c r="BO205" s="33">
        <f t="shared" si="557"/>
        <v>217.08684517374888</v>
      </c>
      <c r="BP205" s="33">
        <f t="shared" si="557"/>
        <v>394.25362245709425</v>
      </c>
      <c r="BQ205" s="33">
        <f t="shared" si="557"/>
        <v>469.51484107974244</v>
      </c>
      <c r="BR205" s="33">
        <f t="shared" si="557"/>
        <v>382.37159812271369</v>
      </c>
      <c r="BS205" s="33">
        <f t="shared" si="557"/>
        <v>510.01732889582962</v>
      </c>
      <c r="BT205" s="33">
        <f t="shared" si="557"/>
        <v>155.05506495245339</v>
      </c>
      <c r="BU205" s="33">
        <f t="shared" si="557"/>
        <v>483.04930875332815</v>
      </c>
      <c r="BV205" s="33">
        <f t="shared" si="557"/>
        <v>157.9042833072547</v>
      </c>
      <c r="BW205" s="33">
        <f t="shared" si="557"/>
        <v>657.96183519177544</v>
      </c>
      <c r="BX205" s="33">
        <f t="shared" si="557"/>
        <v>513.31410821842269</v>
      </c>
      <c r="BY205" s="33">
        <f t="shared" si="557"/>
        <v>928.79549650014917</v>
      </c>
      <c r="BZ205" s="33">
        <f t="shared" si="557"/>
        <v>875.16148394398897</v>
      </c>
      <c r="CA205" s="33">
        <f t="shared" si="557"/>
        <v>607.34793320209178</v>
      </c>
      <c r="CB205" s="33">
        <f t="shared" si="557"/>
        <v>409.98660363192516</v>
      </c>
      <c r="CC205" s="33">
        <f t="shared" si="557"/>
        <v>942.03739037797766</v>
      </c>
      <c r="CD205" s="33">
        <f t="shared" si="557"/>
        <v>389.83244342751794</v>
      </c>
      <c r="CE205" s="33">
        <f t="shared" si="557"/>
        <v>999.15804699364787</v>
      </c>
      <c r="CF205" s="33">
        <f t="shared" si="557"/>
        <v>267.25746684000001</v>
      </c>
      <c r="CG205" s="33">
        <f t="shared" ref="CG205:EI205" si="558">CG77+CG79</f>
        <v>574.17148491969897</v>
      </c>
      <c r="CH205" s="33">
        <f t="shared" si="558"/>
        <v>465.44676815278956</v>
      </c>
      <c r="CI205" s="33">
        <f t="shared" si="558"/>
        <v>727.11679611014222</v>
      </c>
      <c r="CJ205" s="33">
        <f t="shared" si="558"/>
        <v>873.64331630458435</v>
      </c>
      <c r="CK205" s="33">
        <f t="shared" si="558"/>
        <v>1006.9387982200049</v>
      </c>
      <c r="CL205" s="33">
        <f t="shared" si="558"/>
        <v>1288.1790786312863</v>
      </c>
      <c r="CM205" s="33">
        <f t="shared" si="558"/>
        <v>551.89474425590879</v>
      </c>
      <c r="CN205" s="33">
        <f t="shared" si="558"/>
        <v>613.96605483268445</v>
      </c>
      <c r="CO205" s="33">
        <f t="shared" si="558"/>
        <v>1009.1350220387727</v>
      </c>
      <c r="CP205" s="33">
        <f t="shared" si="558"/>
        <v>588.49775182785334</v>
      </c>
      <c r="CQ205" s="33">
        <f t="shared" si="558"/>
        <v>1083.8026000860846</v>
      </c>
      <c r="CR205" s="33">
        <f t="shared" si="558"/>
        <v>267.25746684000001</v>
      </c>
      <c r="CS205" s="33">
        <f t="shared" si="558"/>
        <v>833.34054095614488</v>
      </c>
      <c r="CT205" s="33">
        <f t="shared" si="558"/>
        <v>373.1740568256198</v>
      </c>
      <c r="CU205" s="33">
        <f t="shared" si="558"/>
        <v>1037.5217080992848</v>
      </c>
      <c r="CV205" s="33">
        <f t="shared" si="558"/>
        <v>913.73834172711076</v>
      </c>
      <c r="CW205" s="33">
        <f t="shared" si="558"/>
        <v>1410.3108293697776</v>
      </c>
      <c r="CX205" s="33">
        <f t="shared" si="558"/>
        <v>1455.4104580619407</v>
      </c>
      <c r="CY205" s="33">
        <f t="shared" si="558"/>
        <v>809.75072231308195</v>
      </c>
      <c r="CZ205" s="33">
        <f t="shared" si="558"/>
        <v>267.25746684000001</v>
      </c>
      <c r="DA205" s="33">
        <f t="shared" si="558"/>
        <v>1474.718416771914</v>
      </c>
      <c r="DB205" s="33">
        <f t="shared" si="558"/>
        <v>339.27761863761299</v>
      </c>
      <c r="DC205" s="33">
        <f t="shared" si="558"/>
        <v>1534.3506168059625</v>
      </c>
      <c r="DD205" s="33">
        <f t="shared" si="558"/>
        <v>267.25746684000001</v>
      </c>
      <c r="DE205" s="33">
        <f t="shared" si="558"/>
        <v>719.71477649884696</v>
      </c>
      <c r="DF205" s="33">
        <f t="shared" si="558"/>
        <v>615.71767573639715</v>
      </c>
      <c r="DG205" s="33">
        <f t="shared" si="558"/>
        <v>927.8215689712747</v>
      </c>
      <c r="DH205" s="33">
        <f t="shared" si="558"/>
        <v>1268.7260093830769</v>
      </c>
      <c r="DI205" s="33">
        <f t="shared" si="558"/>
        <v>1448.413365934528</v>
      </c>
      <c r="DJ205" s="33">
        <f t="shared" si="558"/>
        <v>1954.0576612780185</v>
      </c>
      <c r="DK205" s="33">
        <f t="shared" si="558"/>
        <v>972.40737977291406</v>
      </c>
      <c r="DL205" s="33">
        <f t="shared" si="558"/>
        <v>795.52309974097284</v>
      </c>
      <c r="DM205" s="33">
        <f t="shared" si="558"/>
        <v>1437.842566115213</v>
      </c>
      <c r="DN205" s="33">
        <f t="shared" si="558"/>
        <v>803.72320458155832</v>
      </c>
      <c r="DO205" s="33">
        <f t="shared" si="558"/>
        <v>1534.6268107736898</v>
      </c>
      <c r="DP205" s="33">
        <f t="shared" si="558"/>
        <v>417.3932810684953</v>
      </c>
      <c r="DQ205" s="33">
        <f t="shared" si="558"/>
        <v>1230.160058627871</v>
      </c>
      <c r="DR205" s="33">
        <f t="shared" si="558"/>
        <v>503.25430353835088</v>
      </c>
      <c r="DS205" s="33">
        <f t="shared" si="558"/>
        <v>1464.3461354185326</v>
      </c>
      <c r="DT205" s="33">
        <f t="shared" si="558"/>
        <v>1148.627259433639</v>
      </c>
      <c r="DU205" s="33">
        <f t="shared" si="558"/>
        <v>1964.2285262787188</v>
      </c>
      <c r="DV205" s="33">
        <f t="shared" si="558"/>
        <v>1821.2426867924544</v>
      </c>
      <c r="DW205" s="33">
        <f t="shared" si="558"/>
        <v>1350.4193457163301</v>
      </c>
      <c r="DX205" s="33">
        <f t="shared" si="558"/>
        <v>429.45063699148085</v>
      </c>
      <c r="DY205" s="33">
        <f t="shared" si="558"/>
        <v>1858.4535987585987</v>
      </c>
      <c r="DZ205" s="33">
        <f t="shared" si="558"/>
        <v>435.66742026115998</v>
      </c>
      <c r="EA205" s="33">
        <f t="shared" si="558"/>
        <v>1958.9549885618662</v>
      </c>
      <c r="EB205" s="33">
        <f t="shared" si="558"/>
        <v>417.3932810684953</v>
      </c>
      <c r="EC205" s="33">
        <f t="shared" si="558"/>
        <v>879.44293885047807</v>
      </c>
      <c r="ED205" s="33">
        <f t="shared" si="558"/>
        <v>888.77190554527181</v>
      </c>
      <c r="EE205" s="33">
        <f t="shared" si="558"/>
        <v>1120.353121567126</v>
      </c>
      <c r="EF205" s="33">
        <f t="shared" si="558"/>
        <v>1559.0252194873087</v>
      </c>
      <c r="EG205" s="33">
        <f t="shared" si="558"/>
        <v>1630.7098139874101</v>
      </c>
      <c r="EH205" s="33">
        <f t="shared" si="558"/>
        <v>2254.9043662609874</v>
      </c>
      <c r="EI205" s="33">
        <f t="shared" si="558"/>
        <v>987.35315232660707</v>
      </c>
      <c r="EJ205" s="3"/>
      <c r="EK205" s="3"/>
    </row>
    <row r="206" spans="1:14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2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</row>
    <row r="207" spans="1:141" x14ac:dyDescent="0.25">
      <c r="A207" s="3"/>
      <c r="B207" s="3"/>
      <c r="C207" s="3"/>
      <c r="D207" s="3"/>
      <c r="E207" s="3"/>
      <c r="F207" s="10" t="str">
        <f>KPI!$F$195</f>
        <v>коммунальные расходы производства</v>
      </c>
      <c r="G207" s="3"/>
      <c r="H207" s="3"/>
      <c r="I207" s="3"/>
      <c r="J207" s="5" t="str">
        <f>IF($F207="","",INDEX(KPI!$I$11:$I$275,SUMIFS(KPI!$E$11:$E$275,KPI!$F$11:$F$275,$F207)))</f>
        <v>тыс.руб.</v>
      </c>
      <c r="K207" s="3"/>
      <c r="L207" s="3"/>
      <c r="M207" s="3"/>
      <c r="N207" s="3"/>
      <c r="O207" s="3"/>
      <c r="P207" s="3"/>
      <c r="Q207" s="12">
        <f>SUM(S207:EJ207)</f>
        <v>516836.69214374817</v>
      </c>
      <c r="R207" s="3"/>
      <c r="S207" s="55"/>
      <c r="T207" s="33">
        <f>T81+T83</f>
        <v>0</v>
      </c>
      <c r="U207" s="33">
        <f t="shared" ref="U207:CF207" si="559">U81+U83</f>
        <v>0</v>
      </c>
      <c r="V207" s="33">
        <f t="shared" si="559"/>
        <v>350</v>
      </c>
      <c r="W207" s="33">
        <f t="shared" si="559"/>
        <v>350</v>
      </c>
      <c r="X207" s="33">
        <f t="shared" si="559"/>
        <v>808.21367741935489</v>
      </c>
      <c r="Y207" s="33">
        <f t="shared" si="559"/>
        <v>700</v>
      </c>
      <c r="Z207" s="33">
        <f t="shared" si="559"/>
        <v>708.95006451612903</v>
      </c>
      <c r="AA207" s="33">
        <f t="shared" si="559"/>
        <v>771.21837419354836</v>
      </c>
      <c r="AB207" s="33">
        <f t="shared" si="559"/>
        <v>762.12887741935481</v>
      </c>
      <c r="AC207" s="33">
        <f t="shared" si="559"/>
        <v>804.75179354838713</v>
      </c>
      <c r="AD207" s="33">
        <f t="shared" si="559"/>
        <v>814.51050322580647</v>
      </c>
      <c r="AE207" s="33">
        <f t="shared" si="559"/>
        <v>738.36903225806452</v>
      </c>
      <c r="AF207" s="33">
        <f t="shared" si="559"/>
        <v>1009.6704330322581</v>
      </c>
      <c r="AG207" s="33">
        <f t="shared" si="559"/>
        <v>792.06608103225801</v>
      </c>
      <c r="AH207" s="33">
        <f t="shared" si="559"/>
        <v>992.67204129032257</v>
      </c>
      <c r="AI207" s="33">
        <f t="shared" si="559"/>
        <v>818.4574199741935</v>
      </c>
      <c r="AJ207" s="33">
        <f t="shared" si="559"/>
        <v>819.95624877419357</v>
      </c>
      <c r="AK207" s="33">
        <f t="shared" si="559"/>
        <v>812.3227449806451</v>
      </c>
      <c r="AL207" s="33">
        <f t="shared" si="559"/>
        <v>827.59530198709683</v>
      </c>
      <c r="AM207" s="33">
        <f t="shared" si="559"/>
        <v>895.10953785806453</v>
      </c>
      <c r="AN207" s="33">
        <f t="shared" si="559"/>
        <v>1043.6151907096773</v>
      </c>
      <c r="AO207" s="33">
        <f t="shared" si="559"/>
        <v>1027.1104545032258</v>
      </c>
      <c r="AP207" s="33">
        <f t="shared" si="559"/>
        <v>1259.0923462193548</v>
      </c>
      <c r="AQ207" s="33">
        <f t="shared" si="559"/>
        <v>754.96699870967745</v>
      </c>
      <c r="AR207" s="33">
        <f t="shared" si="559"/>
        <v>1561.2930526967741</v>
      </c>
      <c r="AS207" s="33">
        <f t="shared" si="559"/>
        <v>1002.8446934709679</v>
      </c>
      <c r="AT207" s="33">
        <f t="shared" si="559"/>
        <v>1509.0499633548384</v>
      </c>
      <c r="AU207" s="33">
        <f t="shared" si="559"/>
        <v>1079.0409635509682</v>
      </c>
      <c r="AV207" s="33">
        <f t="shared" si="559"/>
        <v>1010.4780816516127</v>
      </c>
      <c r="AW207" s="33">
        <f t="shared" si="559"/>
        <v>1061.4098293264519</v>
      </c>
      <c r="AX207" s="33">
        <f t="shared" si="559"/>
        <v>1032.2544332799998</v>
      </c>
      <c r="AY207" s="33">
        <f t="shared" si="559"/>
        <v>1300.2356118296775</v>
      </c>
      <c r="AZ207" s="33">
        <f t="shared" si="559"/>
        <v>1653.3820042735481</v>
      </c>
      <c r="BA207" s="33">
        <f t="shared" si="559"/>
        <v>1677.3684630296777</v>
      </c>
      <c r="BB207" s="33">
        <f t="shared" si="559"/>
        <v>2261.7274820541929</v>
      </c>
      <c r="BC207" s="33">
        <f t="shared" si="559"/>
        <v>896.09751948387145</v>
      </c>
      <c r="BD207" s="33">
        <f t="shared" si="559"/>
        <v>2130.1607172954837</v>
      </c>
      <c r="BE207" s="33">
        <f t="shared" si="559"/>
        <v>1596.5238437987109</v>
      </c>
      <c r="BF207" s="33">
        <f t="shared" si="559"/>
        <v>2170.8930783822016</v>
      </c>
      <c r="BG207" s="33">
        <f t="shared" si="559"/>
        <v>1678.9656121043308</v>
      </c>
      <c r="BH207" s="33">
        <f t="shared" si="559"/>
        <v>1143.553316130455</v>
      </c>
      <c r="BI207" s="33">
        <f t="shared" si="559"/>
        <v>1641.829602757341</v>
      </c>
      <c r="BJ207" s="33">
        <f t="shared" si="559"/>
        <v>1187.888195107309</v>
      </c>
      <c r="BK207" s="33">
        <f t="shared" si="559"/>
        <v>2136.3372666925579</v>
      </c>
      <c r="BL207" s="33">
        <f t="shared" si="559"/>
        <v>2466.0695789980323</v>
      </c>
      <c r="BM207" s="33">
        <f t="shared" si="559"/>
        <v>2919.9622348594994</v>
      </c>
      <c r="BN207" s="33">
        <f t="shared" si="559"/>
        <v>3713.0641768313581</v>
      </c>
      <c r="BO207" s="33">
        <f t="shared" si="559"/>
        <v>1316.6947613899911</v>
      </c>
      <c r="BP207" s="33">
        <f t="shared" si="559"/>
        <v>2734.028979656754</v>
      </c>
      <c r="BQ207" s="33">
        <f t="shared" si="559"/>
        <v>3336.1187286379395</v>
      </c>
      <c r="BR207" s="33">
        <f t="shared" si="559"/>
        <v>2638.9727849817095</v>
      </c>
      <c r="BS207" s="33">
        <f t="shared" si="559"/>
        <v>3660.138631166637</v>
      </c>
      <c r="BT207" s="33">
        <f t="shared" si="559"/>
        <v>820.44051961962714</v>
      </c>
      <c r="BU207" s="33">
        <f t="shared" si="559"/>
        <v>3444.3944700266252</v>
      </c>
      <c r="BV207" s="33">
        <f t="shared" si="559"/>
        <v>843.23426645803772</v>
      </c>
      <c r="BW207" s="33">
        <f t="shared" si="559"/>
        <v>4652.8084812742036</v>
      </c>
      <c r="BX207" s="33">
        <f t="shared" si="559"/>
        <v>3495.6266654873816</v>
      </c>
      <c r="BY207" s="33">
        <f t="shared" si="559"/>
        <v>6628.5915714811936</v>
      </c>
      <c r="BZ207" s="33">
        <f t="shared" si="559"/>
        <v>6199.519471031912</v>
      </c>
      <c r="CA207" s="33">
        <f t="shared" si="559"/>
        <v>4057.0110650967349</v>
      </c>
      <c r="CB207" s="33">
        <f t="shared" si="559"/>
        <v>2478.1204285354015</v>
      </c>
      <c r="CC207" s="33">
        <f t="shared" si="559"/>
        <v>6734.5267225038215</v>
      </c>
      <c r="CD207" s="33">
        <f t="shared" si="559"/>
        <v>2316.8871469001438</v>
      </c>
      <c r="CE207" s="33">
        <f t="shared" si="559"/>
        <v>7191.4919754291832</v>
      </c>
      <c r="CF207" s="33">
        <f t="shared" si="559"/>
        <v>1336.2873342000003</v>
      </c>
      <c r="CG207" s="33">
        <f t="shared" ref="CG207:EI207" si="560">CG81+CG83</f>
        <v>3791.599478837592</v>
      </c>
      <c r="CH207" s="33">
        <f t="shared" si="560"/>
        <v>2921.8017447023167</v>
      </c>
      <c r="CI207" s="33">
        <f t="shared" si="560"/>
        <v>5015.161968361138</v>
      </c>
      <c r="CJ207" s="33">
        <f t="shared" si="560"/>
        <v>6187.374129916675</v>
      </c>
      <c r="CK207" s="33">
        <f t="shared" si="560"/>
        <v>7253.7379852400391</v>
      </c>
      <c r="CL207" s="33">
        <f t="shared" si="560"/>
        <v>9503.6602285302906</v>
      </c>
      <c r="CM207" s="33">
        <f t="shared" si="560"/>
        <v>3613.3855535272705</v>
      </c>
      <c r="CN207" s="33">
        <f t="shared" si="560"/>
        <v>4109.9560381414758</v>
      </c>
      <c r="CO207" s="33">
        <f t="shared" si="560"/>
        <v>7271.3077757901819</v>
      </c>
      <c r="CP207" s="33">
        <f t="shared" si="560"/>
        <v>3906.2096141028269</v>
      </c>
      <c r="CQ207" s="33">
        <f t="shared" si="560"/>
        <v>7868.6484001686758</v>
      </c>
      <c r="CR207" s="33">
        <f t="shared" si="560"/>
        <v>1336.2873342000003</v>
      </c>
      <c r="CS207" s="33">
        <f t="shared" si="560"/>
        <v>5864.9519271291592</v>
      </c>
      <c r="CT207" s="33">
        <f t="shared" si="560"/>
        <v>2183.6200540849586</v>
      </c>
      <c r="CU207" s="33">
        <f t="shared" si="560"/>
        <v>7498.4012642742773</v>
      </c>
      <c r="CV207" s="33">
        <f t="shared" si="560"/>
        <v>6508.1343332968863</v>
      </c>
      <c r="CW207" s="33">
        <f t="shared" si="560"/>
        <v>10480.714234438221</v>
      </c>
      <c r="CX207" s="33">
        <f t="shared" si="560"/>
        <v>10841.511263975526</v>
      </c>
      <c r="CY207" s="33">
        <f t="shared" si="560"/>
        <v>5676.2333779846558</v>
      </c>
      <c r="CZ207" s="33">
        <f t="shared" si="560"/>
        <v>1336.2873342000003</v>
      </c>
      <c r="DA207" s="33">
        <f t="shared" si="560"/>
        <v>10995.974933655312</v>
      </c>
      <c r="DB207" s="33">
        <f t="shared" si="560"/>
        <v>1912.4485485809041</v>
      </c>
      <c r="DC207" s="33">
        <f t="shared" si="560"/>
        <v>11473.032533927701</v>
      </c>
      <c r="DD207" s="33">
        <f t="shared" si="560"/>
        <v>1336.2873342000003</v>
      </c>
      <c r="DE207" s="33">
        <f t="shared" si="560"/>
        <v>4955.9458114707759</v>
      </c>
      <c r="DF207" s="33">
        <f t="shared" si="560"/>
        <v>4123.9690053711774</v>
      </c>
      <c r="DG207" s="33">
        <f t="shared" si="560"/>
        <v>6620.8001512501978</v>
      </c>
      <c r="DH207" s="33">
        <f t="shared" si="560"/>
        <v>9122.8319532018722</v>
      </c>
      <c r="DI207" s="33">
        <f t="shared" si="560"/>
        <v>10560.330805613481</v>
      </c>
      <c r="DJ207" s="33">
        <f t="shared" si="560"/>
        <v>14380.281447018662</v>
      </c>
      <c r="DK207" s="33">
        <f t="shared" si="560"/>
        <v>6527.0791949778268</v>
      </c>
      <c r="DL207" s="33">
        <f t="shared" si="560"/>
        <v>5112.004954722297</v>
      </c>
      <c r="DM207" s="33">
        <f t="shared" si="560"/>
        <v>10250.560685716218</v>
      </c>
      <c r="DN207" s="33">
        <f t="shared" si="560"/>
        <v>5177.6057934469809</v>
      </c>
      <c r="DO207" s="33">
        <f t="shared" si="560"/>
        <v>11024.834642984033</v>
      </c>
      <c r="DP207" s="33">
        <f t="shared" si="560"/>
        <v>2086.9664053424767</v>
      </c>
      <c r="DQ207" s="33">
        <f t="shared" si="560"/>
        <v>8589.1006258174821</v>
      </c>
      <c r="DR207" s="33">
        <f t="shared" si="560"/>
        <v>2773.8545851013214</v>
      </c>
      <c r="DS207" s="33">
        <f t="shared" si="560"/>
        <v>10462.589240142775</v>
      </c>
      <c r="DT207" s="33">
        <f t="shared" si="560"/>
        <v>7936.8382322636262</v>
      </c>
      <c r="DU207" s="33">
        <f t="shared" si="560"/>
        <v>14461.648367024265</v>
      </c>
      <c r="DV207" s="33">
        <f t="shared" si="560"/>
        <v>13317.761651134149</v>
      </c>
      <c r="DW207" s="33">
        <f t="shared" si="560"/>
        <v>9551.1749225251551</v>
      </c>
      <c r="DX207" s="33">
        <f t="shared" si="560"/>
        <v>2183.4252527263611</v>
      </c>
      <c r="DY207" s="33">
        <f t="shared" si="560"/>
        <v>13615.448946863304</v>
      </c>
      <c r="DZ207" s="33">
        <f t="shared" si="560"/>
        <v>2233.1595188837941</v>
      </c>
      <c r="EA207" s="33">
        <f t="shared" si="560"/>
        <v>14419.460065289444</v>
      </c>
      <c r="EB207" s="33">
        <f t="shared" si="560"/>
        <v>2086.9664053424767</v>
      </c>
      <c r="EC207" s="33">
        <f t="shared" si="560"/>
        <v>5783.3636675983389</v>
      </c>
      <c r="ED207" s="33">
        <f t="shared" si="560"/>
        <v>5857.9954011566888</v>
      </c>
      <c r="EE207" s="33">
        <f t="shared" si="560"/>
        <v>7710.6451293315231</v>
      </c>
      <c r="EF207" s="33">
        <f t="shared" si="560"/>
        <v>11220.021912692984</v>
      </c>
      <c r="EG207" s="33">
        <f t="shared" si="560"/>
        <v>11793.498668693795</v>
      </c>
      <c r="EH207" s="33">
        <f t="shared" si="560"/>
        <v>16787.055086882414</v>
      </c>
      <c r="EI207" s="33">
        <f t="shared" si="560"/>
        <v>6646.6453754073709</v>
      </c>
      <c r="EJ207" s="3"/>
      <c r="EK207" s="3"/>
    </row>
    <row r="208" spans="1:14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2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</row>
    <row r="209" spans="1:141" x14ac:dyDescent="0.25">
      <c r="A209" s="3"/>
      <c r="B209" s="3"/>
      <c r="C209" s="3"/>
      <c r="D209" s="3"/>
      <c r="E209" s="3"/>
      <c r="F209" s="10" t="str">
        <f>KPI!$F$196</f>
        <v>прочие расходы производства</v>
      </c>
      <c r="G209" s="3"/>
      <c r="H209" s="3"/>
      <c r="I209" s="3"/>
      <c r="J209" s="5" t="str">
        <f>IF($F209="","",INDEX(KPI!$I$11:$I$275,SUMIFS(KPI!$E$11:$E$275,KPI!$F$11:$F$275,$F209)))</f>
        <v>тыс.руб.</v>
      </c>
      <c r="K209" s="3"/>
      <c r="L209" s="3"/>
      <c r="M209" s="3"/>
      <c r="N209" s="3"/>
      <c r="O209" s="3"/>
      <c r="P209" s="3"/>
      <c r="Q209" s="12">
        <f>SUM(S209:EJ209)</f>
        <v>10830.776166386177</v>
      </c>
      <c r="R209" s="3"/>
      <c r="S209" s="55"/>
      <c r="T209" s="33">
        <f t="shared" ref="T209:CE209" si="561">T85+T87</f>
        <v>0</v>
      </c>
      <c r="U209" s="33">
        <f t="shared" si="561"/>
        <v>0</v>
      </c>
      <c r="V209" s="33">
        <f t="shared" si="561"/>
        <v>10.499999999999998</v>
      </c>
      <c r="W209" s="33">
        <f t="shared" si="561"/>
        <v>10.499999999999998</v>
      </c>
      <c r="X209" s="33">
        <f t="shared" si="561"/>
        <v>22.893739354838708</v>
      </c>
      <c r="Y209" s="33">
        <f t="shared" si="561"/>
        <v>20.999999999999996</v>
      </c>
      <c r="Z209" s="33">
        <f t="shared" si="561"/>
        <v>21.156626129032254</v>
      </c>
      <c r="AA209" s="33">
        <f t="shared" si="561"/>
        <v>22.246321548387094</v>
      </c>
      <c r="AB209" s="33">
        <f t="shared" si="561"/>
        <v>22.087255354838707</v>
      </c>
      <c r="AC209" s="33">
        <f t="shared" si="561"/>
        <v>22.833156387096771</v>
      </c>
      <c r="AD209" s="33">
        <f t="shared" si="561"/>
        <v>23.003933806451609</v>
      </c>
      <c r="AE209" s="33">
        <f t="shared" si="561"/>
        <v>21.671458064516127</v>
      </c>
      <c r="AF209" s="33">
        <f t="shared" si="561"/>
        <v>26.419232578064513</v>
      </c>
      <c r="AG209" s="33">
        <f t="shared" si="561"/>
        <v>22.611156418064514</v>
      </c>
      <c r="AH209" s="33">
        <f t="shared" si="561"/>
        <v>26.121760722580643</v>
      </c>
      <c r="AI209" s="33">
        <f t="shared" si="561"/>
        <v>23.073004849548383</v>
      </c>
      <c r="AJ209" s="33">
        <f t="shared" si="561"/>
        <v>23.099234353548383</v>
      </c>
      <c r="AK209" s="33">
        <f t="shared" si="561"/>
        <v>22.965648037161287</v>
      </c>
      <c r="AL209" s="33">
        <f t="shared" si="561"/>
        <v>23.232917784774191</v>
      </c>
      <c r="AM209" s="33">
        <f t="shared" si="561"/>
        <v>24.414416912516124</v>
      </c>
      <c r="AN209" s="33">
        <f t="shared" si="561"/>
        <v>27.01326583741935</v>
      </c>
      <c r="AO209" s="33">
        <f t="shared" si="561"/>
        <v>26.724432953806449</v>
      </c>
      <c r="AP209" s="33">
        <f t="shared" si="561"/>
        <v>30.784116058838705</v>
      </c>
      <c r="AQ209" s="33">
        <f t="shared" si="561"/>
        <v>21.961922477419353</v>
      </c>
      <c r="AR209" s="33">
        <f t="shared" si="561"/>
        <v>36.072628422193546</v>
      </c>
      <c r="AS209" s="33">
        <f t="shared" si="561"/>
        <v>26.299782135741935</v>
      </c>
      <c r="AT209" s="33">
        <f t="shared" si="561"/>
        <v>35.158374358709672</v>
      </c>
      <c r="AU209" s="33">
        <f t="shared" si="561"/>
        <v>27.633216862141936</v>
      </c>
      <c r="AV209" s="33">
        <f t="shared" si="561"/>
        <v>26.43336642890322</v>
      </c>
      <c r="AW209" s="33">
        <f t="shared" si="561"/>
        <v>27.324672013212904</v>
      </c>
      <c r="AX209" s="33">
        <f t="shared" si="561"/>
        <v>26.814452582399994</v>
      </c>
      <c r="AY209" s="33">
        <f t="shared" si="561"/>
        <v>31.504123207019354</v>
      </c>
      <c r="AZ209" s="33">
        <f t="shared" si="561"/>
        <v>37.684185074787088</v>
      </c>
      <c r="BA209" s="33">
        <f t="shared" si="561"/>
        <v>38.103948103019356</v>
      </c>
      <c r="BB209" s="33">
        <f t="shared" si="561"/>
        <v>48.330230935948379</v>
      </c>
      <c r="BC209" s="33">
        <f t="shared" si="561"/>
        <v>24.431706590967746</v>
      </c>
      <c r="BD209" s="33">
        <f t="shared" si="561"/>
        <v>46.027812552670966</v>
      </c>
      <c r="BE209" s="33">
        <f t="shared" si="561"/>
        <v>36.68916726647744</v>
      </c>
      <c r="BF209" s="33">
        <f t="shared" si="561"/>
        <v>46.740628871688521</v>
      </c>
      <c r="BG209" s="33">
        <f t="shared" si="561"/>
        <v>38.131898211825785</v>
      </c>
      <c r="BH209" s="33">
        <f t="shared" si="561"/>
        <v>28.762183032282955</v>
      </c>
      <c r="BI209" s="33">
        <f t="shared" si="561"/>
        <v>37.482018048253465</v>
      </c>
      <c r="BJ209" s="33">
        <f t="shared" si="561"/>
        <v>29.538043414377903</v>
      </c>
      <c r="BK209" s="33">
        <f t="shared" si="561"/>
        <v>46.13590216711976</v>
      </c>
      <c r="BL209" s="33">
        <f t="shared" si="561"/>
        <v>51.906217632465555</v>
      </c>
      <c r="BM209" s="33">
        <f t="shared" si="561"/>
        <v>59.849339110041242</v>
      </c>
      <c r="BN209" s="33">
        <f t="shared" si="561"/>
        <v>73.728623094548752</v>
      </c>
      <c r="BO209" s="33">
        <f t="shared" si="561"/>
        <v>31.792158324324838</v>
      </c>
      <c r="BP209" s="33">
        <f t="shared" si="561"/>
        <v>56.595507143993203</v>
      </c>
      <c r="BQ209" s="33">
        <f t="shared" si="561"/>
        <v>67.132077751163933</v>
      </c>
      <c r="BR209" s="33">
        <f t="shared" si="561"/>
        <v>54.932023737179918</v>
      </c>
      <c r="BS209" s="33">
        <f t="shared" si="561"/>
        <v>72.802426045416141</v>
      </c>
      <c r="BT209" s="33">
        <f t="shared" si="561"/>
        <v>23.107709093343473</v>
      </c>
      <c r="BU209" s="33">
        <f t="shared" si="561"/>
        <v>69.026903225465944</v>
      </c>
      <c r="BV209" s="33">
        <f t="shared" si="561"/>
        <v>23.506599663015656</v>
      </c>
      <c r="BW209" s="33">
        <f t="shared" si="561"/>
        <v>94.150944261048551</v>
      </c>
      <c r="BX209" s="33">
        <f t="shared" si="561"/>
        <v>73.900262484779176</v>
      </c>
      <c r="BY209" s="33">
        <f t="shared" si="561"/>
        <v>132.7039441784209</v>
      </c>
      <c r="BZ209" s="33">
        <f t="shared" si="561"/>
        <v>125.19518242055845</v>
      </c>
      <c r="CA209" s="33">
        <f t="shared" si="561"/>
        <v>87.701285316692861</v>
      </c>
      <c r="CB209" s="33">
        <f t="shared" si="561"/>
        <v>60.070699176869525</v>
      </c>
      <c r="CC209" s="33">
        <f t="shared" si="561"/>
        <v>134.55780932131688</v>
      </c>
      <c r="CD209" s="33">
        <f t="shared" si="561"/>
        <v>57.249116748252511</v>
      </c>
      <c r="CE209" s="33">
        <f t="shared" si="561"/>
        <v>142.55470124751071</v>
      </c>
      <c r="CF209" s="33">
        <f t="shared" ref="CF209:EH209" si="562">CF85+CF87</f>
        <v>40.088620026000001</v>
      </c>
      <c r="CG209" s="33">
        <f t="shared" si="562"/>
        <v>83.056582557157853</v>
      </c>
      <c r="CH209" s="33">
        <f t="shared" si="562"/>
        <v>67.835122209790526</v>
      </c>
      <c r="CI209" s="33">
        <f t="shared" si="562"/>
        <v>104.46892612381991</v>
      </c>
      <c r="CJ209" s="33">
        <f t="shared" si="562"/>
        <v>124.98263895104181</v>
      </c>
      <c r="CK209" s="33">
        <f t="shared" si="562"/>
        <v>143.64400641920068</v>
      </c>
      <c r="CL209" s="33">
        <f t="shared" si="562"/>
        <v>183.01764567678009</v>
      </c>
      <c r="CM209" s="33">
        <f t="shared" si="562"/>
        <v>79.937838864227231</v>
      </c>
      <c r="CN209" s="33">
        <f t="shared" si="562"/>
        <v>88.627822344975826</v>
      </c>
      <c r="CO209" s="33">
        <f t="shared" si="562"/>
        <v>143.95147775382816</v>
      </c>
      <c r="CP209" s="33">
        <f t="shared" si="562"/>
        <v>85.062259924299468</v>
      </c>
      <c r="CQ209" s="33">
        <f t="shared" si="562"/>
        <v>154.40493868045183</v>
      </c>
      <c r="CR209" s="33">
        <f t="shared" si="562"/>
        <v>40.088620026000001</v>
      </c>
      <c r="CS209" s="33">
        <f t="shared" si="562"/>
        <v>119.34025040226028</v>
      </c>
      <c r="CT209" s="33">
        <f t="shared" si="562"/>
        <v>54.916942623986778</v>
      </c>
      <c r="CU209" s="33">
        <f t="shared" si="562"/>
        <v>147.92561380229984</v>
      </c>
      <c r="CV209" s="33">
        <f t="shared" si="562"/>
        <v>130.59594251019553</v>
      </c>
      <c r="CW209" s="33">
        <f t="shared" si="562"/>
        <v>200.11609078016886</v>
      </c>
      <c r="CX209" s="33">
        <f t="shared" si="562"/>
        <v>206.43003879707172</v>
      </c>
      <c r="CY209" s="33">
        <f t="shared" si="562"/>
        <v>116.03767579223147</v>
      </c>
      <c r="CZ209" s="33">
        <f t="shared" si="562"/>
        <v>40.088620026000001</v>
      </c>
      <c r="DA209" s="33">
        <f t="shared" si="562"/>
        <v>209.13315301646796</v>
      </c>
      <c r="DB209" s="33">
        <f t="shared" si="562"/>
        <v>50.171441277665821</v>
      </c>
      <c r="DC209" s="33">
        <f t="shared" si="562"/>
        <v>217.48166102123477</v>
      </c>
      <c r="DD209" s="33">
        <f t="shared" si="562"/>
        <v>40.088620026000001</v>
      </c>
      <c r="DE209" s="33">
        <f t="shared" si="562"/>
        <v>103.43264337823858</v>
      </c>
      <c r="DF209" s="33">
        <f t="shared" si="562"/>
        <v>88.873049271495603</v>
      </c>
      <c r="DG209" s="33">
        <f t="shared" si="562"/>
        <v>132.56759432437843</v>
      </c>
      <c r="DH209" s="33">
        <f t="shared" si="562"/>
        <v>181.04489505317321</v>
      </c>
      <c r="DI209" s="33">
        <f t="shared" si="562"/>
        <v>206.20112497037638</v>
      </c>
      <c r="DJ209" s="33">
        <f t="shared" si="562"/>
        <v>277.74200538960753</v>
      </c>
      <c r="DK209" s="33">
        <f t="shared" si="562"/>
        <v>140.31096597889291</v>
      </c>
      <c r="DL209" s="33">
        <f t="shared" si="562"/>
        <v>115.54716677442114</v>
      </c>
      <c r="DM209" s="33">
        <f t="shared" si="562"/>
        <v>205.47189206681475</v>
      </c>
      <c r="DN209" s="33">
        <f t="shared" si="562"/>
        <v>116.69518145210311</v>
      </c>
      <c r="DO209" s="33">
        <f t="shared" si="562"/>
        <v>219.02168631900153</v>
      </c>
      <c r="DP209" s="33">
        <f t="shared" si="562"/>
        <v>62.608992160274283</v>
      </c>
      <c r="DQ209" s="33">
        <f t="shared" si="562"/>
        <v>176.39634101858684</v>
      </c>
      <c r="DR209" s="33">
        <f t="shared" si="562"/>
        <v>74.629535306054066</v>
      </c>
      <c r="DS209" s="33">
        <f t="shared" si="562"/>
        <v>209.18239176927952</v>
      </c>
      <c r="DT209" s="33">
        <f t="shared" si="562"/>
        <v>164.98174913139439</v>
      </c>
      <c r="DU209" s="33">
        <f t="shared" si="562"/>
        <v>279.16592648970561</v>
      </c>
      <c r="DV209" s="33">
        <f t="shared" si="562"/>
        <v>259.14790896162856</v>
      </c>
      <c r="DW209" s="33">
        <f t="shared" si="562"/>
        <v>193.23264121097111</v>
      </c>
      <c r="DX209" s="33">
        <f t="shared" si="562"/>
        <v>64.297021989492265</v>
      </c>
      <c r="DY209" s="33">
        <f t="shared" si="562"/>
        <v>264.35743663688879</v>
      </c>
      <c r="DZ209" s="33">
        <f t="shared" si="562"/>
        <v>65.167371647247336</v>
      </c>
      <c r="EA209" s="33">
        <f t="shared" si="562"/>
        <v>278.4276312093462</v>
      </c>
      <c r="EB209" s="33">
        <f t="shared" si="562"/>
        <v>62.608992160274283</v>
      </c>
      <c r="EC209" s="33">
        <f t="shared" si="562"/>
        <v>127.29594424975187</v>
      </c>
      <c r="ED209" s="33">
        <f t="shared" si="562"/>
        <v>128.60199958702299</v>
      </c>
      <c r="EE209" s="33">
        <f t="shared" si="562"/>
        <v>161.02336983008257</v>
      </c>
      <c r="EF209" s="33">
        <f t="shared" si="562"/>
        <v>222.43746353890819</v>
      </c>
      <c r="EG209" s="33">
        <f t="shared" si="562"/>
        <v>232.47330676892238</v>
      </c>
      <c r="EH209" s="33">
        <f t="shared" si="562"/>
        <v>319.86054408722316</v>
      </c>
      <c r="EI209" s="33">
        <f t="shared" ref="EI209" si="563">EI85+EI87</f>
        <v>142.40337413640992</v>
      </c>
      <c r="EJ209" s="3"/>
      <c r="EK209" s="3"/>
    </row>
    <row r="210" spans="1:14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2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</row>
    <row r="211" spans="1:141" x14ac:dyDescent="0.25">
      <c r="A211" s="3"/>
      <c r="B211" s="3"/>
      <c r="C211" s="3"/>
      <c r="D211" s="3"/>
      <c r="E211" s="3"/>
      <c r="F211" s="10" t="str">
        <f>KPI!$F$217</f>
        <v>Запасы сырья и материалов на конец периода</v>
      </c>
      <c r="G211" s="3"/>
      <c r="H211" s="3"/>
      <c r="I211" s="3"/>
      <c r="J211" s="5" t="str">
        <f>IF($F211="","",INDEX(KPI!$I$11:$I$275,SUMIFS(KPI!$E$11:$E$275,KPI!$F$11:$F$275,$F211)))</f>
        <v>тыс.руб.</v>
      </c>
      <c r="K211" s="3"/>
      <c r="L211" s="3"/>
      <c r="M211" s="3"/>
      <c r="N211" s="3"/>
      <c r="O211" s="3"/>
      <c r="P211" s="3"/>
      <c r="Q211" s="12"/>
      <c r="R211" s="3"/>
      <c r="S211" s="55"/>
      <c r="T211" s="33">
        <f>S211+T41-T29</f>
        <v>0</v>
      </c>
      <c r="U211" s="33">
        <f t="shared" ref="U211:CF211" si="564">T211+U41-U29</f>
        <v>0</v>
      </c>
      <c r="V211" s="33">
        <f t="shared" si="564"/>
        <v>0</v>
      </c>
      <c r="W211" s="33">
        <f t="shared" si="564"/>
        <v>0</v>
      </c>
      <c r="X211" s="33">
        <f t="shared" si="564"/>
        <v>7854.2185223725301</v>
      </c>
      <c r="Y211" s="33">
        <f t="shared" si="564"/>
        <v>7854.2185223725301</v>
      </c>
      <c r="Z211" s="33">
        <f t="shared" si="564"/>
        <v>7631.2507804370462</v>
      </c>
      <c r="AA211" s="33">
        <f t="shared" si="564"/>
        <v>5867.3281997918839</v>
      </c>
      <c r="AB211" s="33">
        <f t="shared" si="564"/>
        <v>4346.1927159209163</v>
      </c>
      <c r="AC211" s="33">
        <f t="shared" si="564"/>
        <v>2958.8789427087595</v>
      </c>
      <c r="AD211" s="33">
        <f t="shared" si="564"/>
        <v>5342.8203876354601</v>
      </c>
      <c r="AE211" s="33">
        <f t="shared" si="564"/>
        <v>4425.690543526096</v>
      </c>
      <c r="AF211" s="33">
        <f t="shared" si="564"/>
        <v>16158.691297695979</v>
      </c>
      <c r="AG211" s="33">
        <f t="shared" si="564"/>
        <v>14080.617333420163</v>
      </c>
      <c r="AH211" s="33">
        <f t="shared" si="564"/>
        <v>7551.5201321432223</v>
      </c>
      <c r="AI211" s="33">
        <f t="shared" si="564"/>
        <v>4899.6347568305573</v>
      </c>
      <c r="AJ211" s="33">
        <f t="shared" si="564"/>
        <v>2957.0327095774223</v>
      </c>
      <c r="AK211" s="33">
        <f t="shared" si="564"/>
        <v>5000.4570493800884</v>
      </c>
      <c r="AL211" s="33">
        <f t="shared" si="564"/>
        <v>3926.7139719185225</v>
      </c>
      <c r="AM211" s="33">
        <f t="shared" si="564"/>
        <v>9994.5037962486822</v>
      </c>
      <c r="AN211" s="33">
        <f t="shared" si="564"/>
        <v>15425.103559954605</v>
      </c>
      <c r="AO211" s="33">
        <f t="shared" si="564"/>
        <v>7579.838117055554</v>
      </c>
      <c r="AP211" s="33">
        <f t="shared" si="564"/>
        <v>30811.874989237956</v>
      </c>
      <c r="AQ211" s="33">
        <f t="shared" si="564"/>
        <v>29593.564772762085</v>
      </c>
      <c r="AR211" s="33">
        <f t="shared" si="564"/>
        <v>26442.42558710861</v>
      </c>
      <c r="AS211" s="33">
        <f t="shared" si="564"/>
        <v>19525.273288175762</v>
      </c>
      <c r="AT211" s="33">
        <f t="shared" si="564"/>
        <v>33491.429388094242</v>
      </c>
      <c r="AU211" s="33">
        <f t="shared" si="564"/>
        <v>24921.131628984309</v>
      </c>
      <c r="AV211" s="33">
        <f t="shared" si="564"/>
        <v>17887.308653605887</v>
      </c>
      <c r="AW211" s="33">
        <f t="shared" si="564"/>
        <v>9683.5506432926632</v>
      </c>
      <c r="AX211" s="33">
        <f t="shared" si="564"/>
        <v>12759.646911559073</v>
      </c>
      <c r="AY211" s="33">
        <f t="shared" si="564"/>
        <v>27520.819727550792</v>
      </c>
      <c r="AZ211" s="33">
        <f t="shared" si="564"/>
        <v>37102.445451486718</v>
      </c>
      <c r="BA211" s="33">
        <f t="shared" si="564"/>
        <v>26431.625222007187</v>
      </c>
      <c r="BB211" s="33">
        <f t="shared" si="564"/>
        <v>78653.495349928897</v>
      </c>
      <c r="BC211" s="33">
        <f t="shared" si="564"/>
        <v>74336.98249548467</v>
      </c>
      <c r="BD211" s="33">
        <f t="shared" si="564"/>
        <v>43167.871924683612</v>
      </c>
      <c r="BE211" s="33">
        <f t="shared" si="564"/>
        <v>23725.164512202093</v>
      </c>
      <c r="BF211" s="33">
        <f t="shared" si="564"/>
        <v>59817.301711795226</v>
      </c>
      <c r="BG211" s="33">
        <f t="shared" si="564"/>
        <v>37993.006229408507</v>
      </c>
      <c r="BH211" s="33">
        <f t="shared" si="564"/>
        <v>28085.386009082114</v>
      </c>
      <c r="BI211" s="33">
        <f t="shared" si="564"/>
        <v>28189.337409059939</v>
      </c>
      <c r="BJ211" s="33">
        <f t="shared" si="564"/>
        <v>17298.535090202109</v>
      </c>
      <c r="BK211" s="33">
        <f t="shared" si="564"/>
        <v>65729.246472785788</v>
      </c>
      <c r="BL211" s="33">
        <f t="shared" si="564"/>
        <v>39751.625272266843</v>
      </c>
      <c r="BM211" s="33">
        <f t="shared" si="564"/>
        <v>88406.729324933287</v>
      </c>
      <c r="BN211" s="33">
        <f t="shared" si="564"/>
        <v>89286.909761641771</v>
      </c>
      <c r="BO211" s="33">
        <f t="shared" si="564"/>
        <v>75857.810693784384</v>
      </c>
      <c r="BP211" s="33">
        <f t="shared" si="564"/>
        <v>37704.156409650517</v>
      </c>
      <c r="BQ211" s="33">
        <f t="shared" si="564"/>
        <v>129348.61142677782</v>
      </c>
      <c r="BR211" s="33">
        <f t="shared" si="564"/>
        <v>86473.008102748805</v>
      </c>
      <c r="BS211" s="33">
        <f t="shared" si="564"/>
        <v>89155.242346666666</v>
      </c>
      <c r="BT211" s="33">
        <f t="shared" si="564"/>
        <v>86461.840308185565</v>
      </c>
      <c r="BU211" s="33">
        <f t="shared" si="564"/>
        <v>77641.994717871246</v>
      </c>
      <c r="BV211" s="33">
        <f t="shared" si="564"/>
        <v>74443.232501699851</v>
      </c>
      <c r="BW211" s="33">
        <f t="shared" si="564"/>
        <v>135099.16586759323</v>
      </c>
      <c r="BX211" s="33">
        <f t="shared" si="564"/>
        <v>80127.739713556046</v>
      </c>
      <c r="BY211" s="33">
        <f t="shared" si="564"/>
        <v>222718.43815592109</v>
      </c>
      <c r="BZ211" s="33">
        <f t="shared" si="564"/>
        <v>116166.9383684537</v>
      </c>
      <c r="CA211" s="33">
        <f t="shared" si="564"/>
        <v>57749.153208236043</v>
      </c>
      <c r="CB211" s="33">
        <f t="shared" si="564"/>
        <v>33426.959854651766</v>
      </c>
      <c r="CC211" s="33">
        <f t="shared" si="564"/>
        <v>310126.44348969992</v>
      </c>
      <c r="CD211" s="33">
        <f t="shared" si="564"/>
        <v>288338.1903322367</v>
      </c>
      <c r="CE211" s="33">
        <f t="shared" si="564"/>
        <v>157932.73538790681</v>
      </c>
      <c r="CF211" s="33">
        <f t="shared" si="564"/>
        <v>157932.73538790681</v>
      </c>
      <c r="CG211" s="33">
        <f t="shared" ref="CG211:EI211" si="565">CF211+CG41-CG29</f>
        <v>103076.21581042046</v>
      </c>
      <c r="CH211" s="33">
        <f t="shared" si="565"/>
        <v>67791.82842971127</v>
      </c>
      <c r="CI211" s="33">
        <f t="shared" si="565"/>
        <v>144154.6575256291</v>
      </c>
      <c r="CJ211" s="33">
        <f t="shared" si="565"/>
        <v>144113.49284206436</v>
      </c>
      <c r="CK211" s="33">
        <f t="shared" si="565"/>
        <v>194262.4710135349</v>
      </c>
      <c r="CL211" s="33">
        <f t="shared" si="565"/>
        <v>287799.47286221402</v>
      </c>
      <c r="CM211" s="33">
        <f t="shared" si="565"/>
        <v>237925.17118675768</v>
      </c>
      <c r="CN211" s="33">
        <f t="shared" si="565"/>
        <v>177596.99725027653</v>
      </c>
      <c r="CO211" s="33">
        <f t="shared" si="565"/>
        <v>193149.75595529596</v>
      </c>
      <c r="CP211" s="33">
        <f t="shared" si="565"/>
        <v>136898.08595825193</v>
      </c>
      <c r="CQ211" s="33">
        <f t="shared" si="565"/>
        <v>249278.60634270567</v>
      </c>
      <c r="CR211" s="33">
        <f t="shared" si="565"/>
        <v>249278.60634270567</v>
      </c>
      <c r="CS211" s="33">
        <f t="shared" si="565"/>
        <v>148008.12617727183</v>
      </c>
      <c r="CT211" s="33">
        <f t="shared" si="565"/>
        <v>129125.24930627094</v>
      </c>
      <c r="CU211" s="33">
        <f t="shared" si="565"/>
        <v>225928.68519951304</v>
      </c>
      <c r="CV211" s="33">
        <f t="shared" si="565"/>
        <v>110891.16905966158</v>
      </c>
      <c r="CW211" s="33">
        <f t="shared" si="565"/>
        <v>415382.11706669984</v>
      </c>
      <c r="CX211" s="33">
        <f t="shared" si="565"/>
        <v>205305.80671561375</v>
      </c>
      <c r="CY211" s="33">
        <f t="shared" si="565"/>
        <v>110768.53864406572</v>
      </c>
      <c r="CZ211" s="33">
        <f t="shared" si="565"/>
        <v>110768.53864406572</v>
      </c>
      <c r="DA211" s="33">
        <f t="shared" si="565"/>
        <v>331673.02947058447</v>
      </c>
      <c r="DB211" s="33">
        <f t="shared" si="565"/>
        <v>318878.71832941804</v>
      </c>
      <c r="DC211" s="33">
        <f t="shared" si="565"/>
        <v>132151.97115344484</v>
      </c>
      <c r="DD211" s="33">
        <f t="shared" si="565"/>
        <v>132151.97115344484</v>
      </c>
      <c r="DE211" s="33">
        <f t="shared" si="565"/>
        <v>51392.510283517739</v>
      </c>
      <c r="DF211" s="33">
        <f t="shared" si="565"/>
        <v>69147.781389777752</v>
      </c>
      <c r="DG211" s="33">
        <f t="shared" si="565"/>
        <v>160248.27973461803</v>
      </c>
      <c r="DH211" s="33">
        <f t="shared" si="565"/>
        <v>171657.39957685774</v>
      </c>
      <c r="DI211" s="33">
        <f t="shared" si="565"/>
        <v>210313.26227195779</v>
      </c>
      <c r="DJ211" s="33">
        <f t="shared" si="565"/>
        <v>337917.85470345459</v>
      </c>
      <c r="DK211" s="33">
        <f t="shared" si="565"/>
        <v>239575.65946006367</v>
      </c>
      <c r="DL211" s="33">
        <f t="shared" si="565"/>
        <v>172842.28334708221</v>
      </c>
      <c r="DM211" s="33">
        <f t="shared" si="565"/>
        <v>214908.0599889541</v>
      </c>
      <c r="DN211" s="33">
        <f t="shared" si="565"/>
        <v>146300.31826031537</v>
      </c>
      <c r="DO211" s="33">
        <f t="shared" si="565"/>
        <v>253082.66188749188</v>
      </c>
      <c r="DP211" s="33">
        <f t="shared" si="565"/>
        <v>253082.66188749188</v>
      </c>
      <c r="DQ211" s="33">
        <f t="shared" si="565"/>
        <v>107135.04150003081</v>
      </c>
      <c r="DR211" s="33">
        <f t="shared" si="565"/>
        <v>91747.628643920747</v>
      </c>
      <c r="DS211" s="33">
        <f t="shared" si="565"/>
        <v>272065.62969787297</v>
      </c>
      <c r="DT211" s="33">
        <f t="shared" si="565"/>
        <v>141128.68290131903</v>
      </c>
      <c r="DU211" s="33">
        <f t="shared" si="565"/>
        <v>394822.3768715692</v>
      </c>
      <c r="DV211" s="33">
        <f t="shared" si="565"/>
        <v>144780.12239750213</v>
      </c>
      <c r="DW211" s="33">
        <f t="shared" si="565"/>
        <v>176060.56913549764</v>
      </c>
      <c r="DX211" s="33">
        <f t="shared" si="565"/>
        <v>173914.17194985342</v>
      </c>
      <c r="DY211" s="33">
        <f t="shared" si="565"/>
        <v>378413.5762124653</v>
      </c>
      <c r="DZ211" s="33">
        <f t="shared" si="565"/>
        <v>375145.32352435746</v>
      </c>
      <c r="EA211" s="33">
        <f t="shared" si="565"/>
        <v>176919.49529495329</v>
      </c>
      <c r="EB211" s="33">
        <f t="shared" si="565"/>
        <v>176919.49529495329</v>
      </c>
      <c r="EC211" s="33">
        <f t="shared" si="565"/>
        <v>94032.460897086537</v>
      </c>
      <c r="ED211" s="33">
        <f t="shared" si="565"/>
        <v>69521.425956220526</v>
      </c>
      <c r="EE211" s="33">
        <f t="shared" si="565"/>
        <v>174888.17286089231</v>
      </c>
      <c r="EF211" s="33">
        <f t="shared" si="565"/>
        <v>235022.93332376974</v>
      </c>
      <c r="EG211" s="33">
        <f t="shared" si="565"/>
        <v>185095.35635541374</v>
      </c>
      <c r="EH211" s="33">
        <f t="shared" si="565"/>
        <v>473371.90407480579</v>
      </c>
      <c r="EI211" s="33">
        <f t="shared" si="565"/>
        <v>371678.40168523649</v>
      </c>
      <c r="EJ211" s="3"/>
      <c r="EK211" s="3"/>
    </row>
    <row r="212" spans="1:14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2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</row>
    <row r="213" spans="1:141" x14ac:dyDescent="0.25">
      <c r="A213" s="3"/>
      <c r="B213" s="3"/>
      <c r="C213" s="3"/>
      <c r="D213" s="3"/>
      <c r="E213" s="3"/>
      <c r="F213" s="10" t="str">
        <f>KPI!$F$218</f>
        <v>Запасы готовой продукции на конец периода</v>
      </c>
      <c r="G213" s="3"/>
      <c r="H213" s="3"/>
      <c r="I213" s="3"/>
      <c r="J213" s="5" t="str">
        <f>IF($F213="","",INDEX(KPI!$I$11:$I$275,SUMIFS(KPI!$E$11:$E$275,KPI!$F$11:$F$275,$F213)))</f>
        <v>тыс.руб.</v>
      </c>
      <c r="K213" s="3"/>
      <c r="L213" s="3"/>
      <c r="M213" s="3"/>
      <c r="N213" s="3"/>
      <c r="O213" s="3"/>
      <c r="P213" s="3"/>
      <c r="Q213" s="12"/>
      <c r="R213" s="3"/>
      <c r="S213" s="55"/>
      <c r="T213" s="33">
        <f>S213+T29-T49</f>
        <v>0</v>
      </c>
      <c r="U213" s="33">
        <f t="shared" ref="U213:CF213" si="566">T213+U29-U49</f>
        <v>0</v>
      </c>
      <c r="V213" s="33">
        <f t="shared" si="566"/>
        <v>0</v>
      </c>
      <c r="W213" s="33">
        <f t="shared" si="566"/>
        <v>0</v>
      </c>
      <c r="X213" s="33">
        <f t="shared" si="566"/>
        <v>1783.7419354838712</v>
      </c>
      <c r="Y213" s="33">
        <f t="shared" si="566"/>
        <v>1015.7419354838711</v>
      </c>
      <c r="Z213" s="33">
        <f t="shared" si="566"/>
        <v>470.70967741935465</v>
      </c>
      <c r="AA213" s="33">
        <f t="shared" si="566"/>
        <v>1313.0322580645161</v>
      </c>
      <c r="AB213" s="33">
        <f t="shared" si="566"/>
        <v>1451.7677419354834</v>
      </c>
      <c r="AC213" s="33">
        <f t="shared" si="566"/>
        <v>2127.7110142312249</v>
      </c>
      <c r="AD213" s="33">
        <f t="shared" si="566"/>
        <v>2562.2424001762174</v>
      </c>
      <c r="AE213" s="33">
        <f t="shared" si="566"/>
        <v>1417.3325171575093</v>
      </c>
      <c r="AF213" s="33">
        <f t="shared" si="566"/>
        <v>5098.327894380217</v>
      </c>
      <c r="AG213" s="33">
        <f t="shared" si="566"/>
        <v>3272.9029504384498</v>
      </c>
      <c r="AH213" s="33">
        <f t="shared" si="566"/>
        <v>5350.2625713656598</v>
      </c>
      <c r="AI213" s="33">
        <f t="shared" si="566"/>
        <v>3551.9687472299574</v>
      </c>
      <c r="AJ213" s="33">
        <f t="shared" si="566"/>
        <v>2925.1224980342163</v>
      </c>
      <c r="AK213" s="33">
        <f t="shared" si="566"/>
        <v>2751.2586319889137</v>
      </c>
      <c r="AL213" s="33">
        <f t="shared" si="566"/>
        <v>2895.3540193000404</v>
      </c>
      <c r="AM213" s="33">
        <f t="shared" si="566"/>
        <v>4078.3901088978655</v>
      </c>
      <c r="AN213" s="33">
        <f t="shared" si="566"/>
        <v>7007.5797543725821</v>
      </c>
      <c r="AO213" s="33">
        <f t="shared" si="566"/>
        <v>7445.4906329155338</v>
      </c>
      <c r="AP213" s="33">
        <f t="shared" si="566"/>
        <v>11001.944126408329</v>
      </c>
      <c r="AQ213" s="33">
        <f t="shared" si="566"/>
        <v>4314.633634484846</v>
      </c>
      <c r="AR213" s="33">
        <f t="shared" si="566"/>
        <v>14370.550869194229</v>
      </c>
      <c r="AS213" s="33">
        <f t="shared" si="566"/>
        <v>9933.1651438684185</v>
      </c>
      <c r="AT213" s="33">
        <f t="shared" si="566"/>
        <v>15189.955594824496</v>
      </c>
      <c r="AU213" s="33">
        <f t="shared" si="566"/>
        <v>10776.385742171156</v>
      </c>
      <c r="AV213" s="33">
        <f t="shared" si="566"/>
        <v>8071.6824801224757</v>
      </c>
      <c r="AW213" s="33">
        <f t="shared" si="566"/>
        <v>8159.5993561099294</v>
      </c>
      <c r="AX213" s="33">
        <f t="shared" si="566"/>
        <v>7744.1156587162241</v>
      </c>
      <c r="AY213" s="33">
        <f t="shared" si="566"/>
        <v>11528.409540387885</v>
      </c>
      <c r="AZ213" s="33">
        <f t="shared" si="566"/>
        <v>18199.967731203214</v>
      </c>
      <c r="BA213" s="33">
        <f t="shared" si="566"/>
        <v>20378.1539292171</v>
      </c>
      <c r="BB213" s="33">
        <f t="shared" si="566"/>
        <v>30104.422713422817</v>
      </c>
      <c r="BC213" s="33">
        <f t="shared" si="566"/>
        <v>12431.633567809764</v>
      </c>
      <c r="BD213" s="33">
        <f t="shared" si="566"/>
        <v>24495.973950079446</v>
      </c>
      <c r="BE213" s="33">
        <f t="shared" si="566"/>
        <v>21634.150775218186</v>
      </c>
      <c r="BF213" s="33">
        <f t="shared" si="566"/>
        <v>28294.247765910433</v>
      </c>
      <c r="BG213" s="33">
        <f t="shared" si="566"/>
        <v>23922.594453013207</v>
      </c>
      <c r="BH213" s="33">
        <f t="shared" si="566"/>
        <v>14136.99190824608</v>
      </c>
      <c r="BI213" s="33">
        <f t="shared" si="566"/>
        <v>18774.499703437461</v>
      </c>
      <c r="BJ213" s="33">
        <f t="shared" si="566"/>
        <v>13156.300461426123</v>
      </c>
      <c r="BK213" s="33">
        <f t="shared" si="566"/>
        <v>25412.504819883841</v>
      </c>
      <c r="BL213" s="33">
        <f t="shared" si="566"/>
        <v>35046.72254617975</v>
      </c>
      <c r="BM213" s="33">
        <f t="shared" si="566"/>
        <v>43874.011053014248</v>
      </c>
      <c r="BN213" s="33">
        <f t="shared" si="566"/>
        <v>59111.679340806368</v>
      </c>
      <c r="BO213" s="33">
        <f t="shared" si="566"/>
        <v>27667.523644774854</v>
      </c>
      <c r="BP213" s="33">
        <f t="shared" si="566"/>
        <v>33740.019700616358</v>
      </c>
      <c r="BQ213" s="33">
        <f t="shared" si="566"/>
        <v>46974.261797588086</v>
      </c>
      <c r="BR213" s="33">
        <f t="shared" si="566"/>
        <v>37372.12075254025</v>
      </c>
      <c r="BS213" s="33">
        <f t="shared" si="566"/>
        <v>50516.345393385651</v>
      </c>
      <c r="BT213" s="33">
        <f t="shared" si="566"/>
        <v>13507.402788351334</v>
      </c>
      <c r="BU213" s="33">
        <f t="shared" si="566"/>
        <v>41844.956630822191</v>
      </c>
      <c r="BV213" s="33">
        <f t="shared" si="566"/>
        <v>11788.768813674607</v>
      </c>
      <c r="BW213" s="33">
        <f t="shared" si="566"/>
        <v>52995.853742537736</v>
      </c>
      <c r="BX213" s="33">
        <f t="shared" si="566"/>
        <v>47594.390327028843</v>
      </c>
      <c r="BY213" s="33">
        <f t="shared" si="566"/>
        <v>83756.671041857786</v>
      </c>
      <c r="BZ213" s="33">
        <f t="shared" si="566"/>
        <v>87402.641523601094</v>
      </c>
      <c r="CA213" s="33">
        <f t="shared" si="566"/>
        <v>56518.151010150294</v>
      </c>
      <c r="CB213" s="33">
        <f t="shared" si="566"/>
        <v>28258.209643898139</v>
      </c>
      <c r="CC213" s="33">
        <f t="shared" si="566"/>
        <v>85002.458541401444</v>
      </c>
      <c r="CD213" s="33">
        <f t="shared" si="566"/>
        <v>33317.336713495592</v>
      </c>
      <c r="CE213" s="33">
        <f t="shared" si="566"/>
        <v>89747.371783921393</v>
      </c>
      <c r="CF213" s="33">
        <f t="shared" si="566"/>
        <v>34265.806878493328</v>
      </c>
      <c r="CG213" s="33">
        <f t="shared" ref="CG213:EI213" si="567">CF213+CG29-CG49</f>
        <v>42837.953911914883</v>
      </c>
      <c r="CH213" s="33">
        <f t="shared" si="567"/>
        <v>31823.917918373525</v>
      </c>
      <c r="CI213" s="33">
        <f t="shared" si="567"/>
        <v>58236.783741930747</v>
      </c>
      <c r="CJ213" s="33">
        <f t="shared" si="567"/>
        <v>82182.283998388375</v>
      </c>
      <c r="CK213" s="33">
        <f t="shared" si="567"/>
        <v>100350.14218949502</v>
      </c>
      <c r="CL213" s="33">
        <f t="shared" si="567"/>
        <v>138242.80747362314</v>
      </c>
      <c r="CM213" s="33">
        <f t="shared" si="567"/>
        <v>63110.690315195476</v>
      </c>
      <c r="CN213" s="33">
        <f t="shared" si="567"/>
        <v>51979.338679182183</v>
      </c>
      <c r="CO213" s="33">
        <f t="shared" si="567"/>
        <v>98251.175036362023</v>
      </c>
      <c r="CP213" s="33">
        <f t="shared" si="567"/>
        <v>57693.510085875125</v>
      </c>
      <c r="CQ213" s="33">
        <f t="shared" si="567"/>
        <v>105156.62449463247</v>
      </c>
      <c r="CR213" s="33">
        <f t="shared" si="567"/>
        <v>31498.05460668313</v>
      </c>
      <c r="CS213" s="33">
        <f t="shared" si="567"/>
        <v>71116.658729220857</v>
      </c>
      <c r="CT213" s="33">
        <f t="shared" si="567"/>
        <v>28329.975006988352</v>
      </c>
      <c r="CU213" s="33">
        <f t="shared" si="567"/>
        <v>91748.127866368421</v>
      </c>
      <c r="CV213" s="33">
        <f t="shared" si="567"/>
        <v>94804.475121322874</v>
      </c>
      <c r="CW213" s="33">
        <f t="shared" si="567"/>
        <v>148142.42137744665</v>
      </c>
      <c r="CX213" s="33">
        <f t="shared" si="567"/>
        <v>168112.74289112748</v>
      </c>
      <c r="CY213" s="33">
        <f t="shared" si="567"/>
        <v>97725.290471400513</v>
      </c>
      <c r="CZ213" s="33">
        <f t="shared" si="567"/>
        <v>13148.51073228514</v>
      </c>
      <c r="DA213" s="33">
        <f t="shared" si="567"/>
        <v>126886.72485136142</v>
      </c>
      <c r="DB213" s="33">
        <f t="shared" si="567"/>
        <v>23282.388395278918</v>
      </c>
      <c r="DC213" s="33">
        <f t="shared" si="567"/>
        <v>132279.69918095629</v>
      </c>
      <c r="DD213" s="33">
        <f t="shared" si="567"/>
        <v>44739.898554350832</v>
      </c>
      <c r="DE213" s="33">
        <f t="shared" si="567"/>
        <v>52536.165979135141</v>
      </c>
      <c r="DF213" s="33">
        <f t="shared" si="567"/>
        <v>41761.97069453304</v>
      </c>
      <c r="DG213" s="33">
        <f t="shared" si="567"/>
        <v>72058.456034773524</v>
      </c>
      <c r="DH213" s="33">
        <f t="shared" si="567"/>
        <v>105162.5089844747</v>
      </c>
      <c r="DI213" s="33">
        <f t="shared" si="567"/>
        <v>124613.59518591542</v>
      </c>
      <c r="DJ213" s="33">
        <f t="shared" si="567"/>
        <v>174555.2395126654</v>
      </c>
      <c r="DK213" s="33">
        <f t="shared" si="567"/>
        <v>77418.304267962376</v>
      </c>
      <c r="DL213" s="33">
        <f t="shared" si="567"/>
        <v>47368.817702859888</v>
      </c>
      <c r="DM213" s="33">
        <f t="shared" si="567"/>
        <v>115171.5548956102</v>
      </c>
      <c r="DN213" s="33">
        <f t="shared" si="567"/>
        <v>53198.400478991971</v>
      </c>
      <c r="DO213" s="33">
        <f t="shared" si="567"/>
        <v>121875.92046084179</v>
      </c>
      <c r="DP213" s="33">
        <f t="shared" si="567"/>
        <v>23157.424151538333</v>
      </c>
      <c r="DQ213" s="33">
        <f t="shared" si="567"/>
        <v>86688.626262948877</v>
      </c>
      <c r="DR213" s="33">
        <f t="shared" si="567"/>
        <v>19656.002239755617</v>
      </c>
      <c r="DS213" s="33">
        <f t="shared" si="567"/>
        <v>108485.01997289828</v>
      </c>
      <c r="DT213" s="33">
        <f t="shared" si="567"/>
        <v>90306.10754095827</v>
      </c>
      <c r="DU213" s="33">
        <f t="shared" si="567"/>
        <v>167563.11616194242</v>
      </c>
      <c r="DV213" s="33">
        <f t="shared" si="567"/>
        <v>166707.17078387082</v>
      </c>
      <c r="DW213" s="33">
        <f t="shared" si="567"/>
        <v>114549.84225932075</v>
      </c>
      <c r="DX213" s="33">
        <f t="shared" si="567"/>
        <v>15724.12062661408</v>
      </c>
      <c r="DY213" s="33">
        <f t="shared" si="567"/>
        <v>154739.67884001776</v>
      </c>
      <c r="DZ213" s="33">
        <f t="shared" si="567"/>
        <v>21454.944998021965</v>
      </c>
      <c r="EA213" s="33">
        <f t="shared" si="567"/>
        <v>160884.41064447697</v>
      </c>
      <c r="EB213" s="33">
        <f t="shared" si="567"/>
        <v>58298.332887074066</v>
      </c>
      <c r="EC213" s="33">
        <f t="shared" si="567"/>
        <v>55690.446644775657</v>
      </c>
      <c r="ED213" s="33">
        <f t="shared" si="567"/>
        <v>54690.015845610615</v>
      </c>
      <c r="EE213" s="33">
        <f t="shared" si="567"/>
        <v>78074.623645499683</v>
      </c>
      <c r="EF213" s="33">
        <f t="shared" si="567"/>
        <v>128302.195969391</v>
      </c>
      <c r="EG213" s="33">
        <f t="shared" si="567"/>
        <v>138619.45298212889</v>
      </c>
      <c r="EH213" s="33">
        <f t="shared" si="567"/>
        <v>207960.13943871838</v>
      </c>
      <c r="EI213" s="33">
        <f t="shared" si="567"/>
        <v>83569.827292607806</v>
      </c>
      <c r="EJ213" s="3"/>
      <c r="EK213" s="3"/>
    </row>
    <row r="214" spans="1:14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2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</row>
    <row r="215" spans="1:141" x14ac:dyDescent="0.25">
      <c r="A215" s="3"/>
      <c r="B215" s="3"/>
      <c r="C215" s="3"/>
      <c r="D215" s="3"/>
      <c r="E215" s="3"/>
      <c r="F215" s="10" t="str">
        <f>KPI!$F$242</f>
        <v>Оплата налога на имущество</v>
      </c>
      <c r="G215" s="3"/>
      <c r="H215" s="3"/>
      <c r="I215" s="3"/>
      <c r="J215" s="5" t="str">
        <f>IF($F215="","",INDEX(KPI!$I$11:$I$275,SUMIFS(KPI!$E$11:$E$275,KPI!$F$11:$F$275,$F215)))</f>
        <v>тыс.руб.</v>
      </c>
      <c r="K215" s="3"/>
      <c r="L215" s="3"/>
      <c r="M215" s="3"/>
      <c r="N215" s="3"/>
      <c r="O215" s="3"/>
      <c r="P215" s="3"/>
      <c r="Q215" s="12">
        <f>SUM(S215:EJ215)</f>
        <v>6034.3288723655178</v>
      </c>
      <c r="R215" s="3"/>
      <c r="S215" s="55"/>
      <c r="T215" s="33">
        <f>SUMIFS(CF!$46:$46,CF!$8:$8,T$9)</f>
        <v>0</v>
      </c>
      <c r="U215" s="33">
        <f>SUMIFS(CF!$46:$46,CF!$8:$8,U$9)</f>
        <v>0</v>
      </c>
      <c r="V215" s="33">
        <f>SUMIFS(CF!$46:$46,CF!$8:$8,V$9)</f>
        <v>0</v>
      </c>
      <c r="W215" s="33">
        <f>SUMIFS(CF!$46:$46,CF!$8:$8,W$9)</f>
        <v>0</v>
      </c>
      <c r="X215" s="33">
        <f>SUMIFS(CF!$46:$46,CF!$8:$8,X$9)</f>
        <v>0</v>
      </c>
      <c r="Y215" s="33">
        <f>SUMIFS(CF!$46:$46,CF!$8:$8,Y$9)</f>
        <v>0</v>
      </c>
      <c r="Z215" s="33">
        <f>SUMIFS(CF!$46:$46,CF!$8:$8,Z$9)</f>
        <v>0</v>
      </c>
      <c r="AA215" s="33">
        <f>SUMIFS(CF!$46:$46,CF!$8:$8,AA$9)</f>
        <v>0</v>
      </c>
      <c r="AB215" s="33">
        <f>SUMIFS(CF!$46:$46,CF!$8:$8,AB$9)</f>
        <v>0</v>
      </c>
      <c r="AC215" s="33">
        <f>SUMIFS(CF!$46:$46,CF!$8:$8,AC$9)</f>
        <v>0</v>
      </c>
      <c r="AD215" s="33">
        <f>SUMIFS(CF!$46:$46,CF!$8:$8,AD$9)</f>
        <v>0</v>
      </c>
      <c r="AE215" s="33">
        <f>SUMIFS(CF!$46:$46,CF!$8:$8,AE$9)</f>
        <v>0</v>
      </c>
      <c r="AF215" s="33">
        <f>SUMIFS(CF!$46:$46,CF!$8:$8,AF$9)</f>
        <v>296.77083333333331</v>
      </c>
      <c r="AG215" s="33">
        <f>SUMIFS(CF!$46:$46,CF!$8:$8,AG$9)</f>
        <v>0</v>
      </c>
      <c r="AH215" s="33">
        <f>SUMIFS(CF!$46:$46,CF!$8:$8,AH$9)</f>
        <v>0</v>
      </c>
      <c r="AI215" s="33">
        <f>SUMIFS(CF!$46:$46,CF!$8:$8,AI$9)</f>
        <v>0</v>
      </c>
      <c r="AJ215" s="33">
        <f>SUMIFS(CF!$46:$46,CF!$8:$8,AJ$9)</f>
        <v>0</v>
      </c>
      <c r="AK215" s="33">
        <f>SUMIFS(CF!$46:$46,CF!$8:$8,AK$9)</f>
        <v>0</v>
      </c>
      <c r="AL215" s="33">
        <f>SUMIFS(CF!$46:$46,CF!$8:$8,AL$9)</f>
        <v>0</v>
      </c>
      <c r="AM215" s="33">
        <f>SUMIFS(CF!$46:$46,CF!$8:$8,AM$9)</f>
        <v>0</v>
      </c>
      <c r="AN215" s="33">
        <f>SUMIFS(CF!$46:$46,CF!$8:$8,AN$9)</f>
        <v>0</v>
      </c>
      <c r="AO215" s="33">
        <f>SUMIFS(CF!$46:$46,CF!$8:$8,AO$9)</f>
        <v>0</v>
      </c>
      <c r="AP215" s="33">
        <f>SUMIFS(CF!$46:$46,CF!$8:$8,AP$9)</f>
        <v>0</v>
      </c>
      <c r="AQ215" s="33">
        <f>SUMIFS(CF!$46:$46,CF!$8:$8,AQ$9)</f>
        <v>0</v>
      </c>
      <c r="AR215" s="33">
        <f>SUMIFS(CF!$46:$46,CF!$8:$8,AR$9)</f>
        <v>561.45833333333337</v>
      </c>
      <c r="AS215" s="33">
        <f>SUMIFS(CF!$46:$46,CF!$8:$8,AS$9)</f>
        <v>0</v>
      </c>
      <c r="AT215" s="33">
        <f>SUMIFS(CF!$46:$46,CF!$8:$8,AT$9)</f>
        <v>0</v>
      </c>
      <c r="AU215" s="33">
        <f>SUMIFS(CF!$46:$46,CF!$8:$8,AU$9)</f>
        <v>0</v>
      </c>
      <c r="AV215" s="33">
        <f>SUMIFS(CF!$46:$46,CF!$8:$8,AV$9)</f>
        <v>0</v>
      </c>
      <c r="AW215" s="33">
        <f>SUMIFS(CF!$46:$46,CF!$8:$8,AW$9)</f>
        <v>0</v>
      </c>
      <c r="AX215" s="33">
        <f>SUMIFS(CF!$46:$46,CF!$8:$8,AX$9)</f>
        <v>0</v>
      </c>
      <c r="AY215" s="33">
        <f>SUMIFS(CF!$46:$46,CF!$8:$8,AY$9)</f>
        <v>0</v>
      </c>
      <c r="AZ215" s="33">
        <f>SUMIFS(CF!$46:$46,CF!$8:$8,AZ$9)</f>
        <v>0</v>
      </c>
      <c r="BA215" s="33">
        <f>SUMIFS(CF!$46:$46,CF!$8:$8,BA$9)</f>
        <v>0</v>
      </c>
      <c r="BB215" s="33">
        <f>SUMIFS(CF!$46:$46,CF!$8:$8,BB$9)</f>
        <v>0</v>
      </c>
      <c r="BC215" s="33">
        <f>SUMIFS(CF!$46:$46,CF!$8:$8,BC$9)</f>
        <v>0</v>
      </c>
      <c r="BD215" s="33">
        <f>SUMIFS(CF!$46:$46,CF!$8:$8,BD$9)</f>
        <v>497.29166666666669</v>
      </c>
      <c r="BE215" s="33">
        <f>SUMIFS(CF!$46:$46,CF!$8:$8,BE$9)</f>
        <v>0</v>
      </c>
      <c r="BF215" s="33">
        <f>SUMIFS(CF!$46:$46,CF!$8:$8,BF$9)</f>
        <v>0</v>
      </c>
      <c r="BG215" s="33">
        <f>SUMIFS(CF!$46:$46,CF!$8:$8,BG$9)</f>
        <v>0</v>
      </c>
      <c r="BH215" s="33">
        <f>SUMIFS(CF!$46:$46,CF!$8:$8,BH$9)</f>
        <v>0</v>
      </c>
      <c r="BI215" s="33">
        <f>SUMIFS(CF!$46:$46,CF!$8:$8,BI$9)</f>
        <v>0</v>
      </c>
      <c r="BJ215" s="33">
        <f>SUMIFS(CF!$46:$46,CF!$8:$8,BJ$9)</f>
        <v>0</v>
      </c>
      <c r="BK215" s="33">
        <f>SUMIFS(CF!$46:$46,CF!$8:$8,BK$9)</f>
        <v>0</v>
      </c>
      <c r="BL215" s="33">
        <f>SUMIFS(CF!$46:$46,CF!$8:$8,BL$9)</f>
        <v>0</v>
      </c>
      <c r="BM215" s="33">
        <f>SUMIFS(CF!$46:$46,CF!$8:$8,BM$9)</f>
        <v>0</v>
      </c>
      <c r="BN215" s="33">
        <f>SUMIFS(CF!$46:$46,CF!$8:$8,BN$9)</f>
        <v>0</v>
      </c>
      <c r="BO215" s="33">
        <f>SUMIFS(CF!$46:$46,CF!$8:$8,BO$9)</f>
        <v>0</v>
      </c>
      <c r="BP215" s="33">
        <f>SUMIFS(CF!$46:$46,CF!$8:$8,BP$9)</f>
        <v>433.12500000000006</v>
      </c>
      <c r="BQ215" s="33">
        <f>SUMIFS(CF!$46:$46,CF!$8:$8,BQ$9)</f>
        <v>0</v>
      </c>
      <c r="BR215" s="33">
        <f>SUMIFS(CF!$46:$46,CF!$8:$8,BR$9)</f>
        <v>0</v>
      </c>
      <c r="BS215" s="33">
        <f>SUMIFS(CF!$46:$46,CF!$8:$8,BS$9)</f>
        <v>0</v>
      </c>
      <c r="BT215" s="33">
        <f>SUMIFS(CF!$46:$46,CF!$8:$8,BT$9)</f>
        <v>0</v>
      </c>
      <c r="BU215" s="33">
        <f>SUMIFS(CF!$46:$46,CF!$8:$8,BU$9)</f>
        <v>0</v>
      </c>
      <c r="BV215" s="33">
        <f>SUMIFS(CF!$46:$46,CF!$8:$8,BV$9)</f>
        <v>0</v>
      </c>
      <c r="BW215" s="33">
        <f>SUMIFS(CF!$46:$46,CF!$8:$8,BW$9)</f>
        <v>0</v>
      </c>
      <c r="BX215" s="33">
        <f>SUMIFS(CF!$46:$46,CF!$8:$8,BX$9)</f>
        <v>0</v>
      </c>
      <c r="BY215" s="33">
        <f>SUMIFS(CF!$46:$46,CF!$8:$8,BY$9)</f>
        <v>0</v>
      </c>
      <c r="BZ215" s="33">
        <f>SUMIFS(CF!$46:$46,CF!$8:$8,BZ$9)</f>
        <v>0</v>
      </c>
      <c r="CA215" s="33">
        <f>SUMIFS(CF!$46:$46,CF!$8:$8,CA$9)</f>
        <v>0</v>
      </c>
      <c r="CB215" s="33">
        <f>SUMIFS(CF!$46:$46,CF!$8:$8,CB$9)</f>
        <v>650.86897168027804</v>
      </c>
      <c r="CC215" s="33">
        <f>SUMIFS(CF!$46:$46,CF!$8:$8,CC$9)</f>
        <v>0</v>
      </c>
      <c r="CD215" s="33">
        <f>SUMIFS(CF!$46:$46,CF!$8:$8,CD$9)</f>
        <v>0</v>
      </c>
      <c r="CE215" s="33">
        <f>SUMIFS(CF!$46:$46,CF!$8:$8,CE$9)</f>
        <v>0</v>
      </c>
      <c r="CF215" s="33">
        <f>SUMIFS(CF!$46:$46,CF!$8:$8,CF$9)</f>
        <v>0</v>
      </c>
      <c r="CG215" s="33">
        <f>SUMIFS(CF!$46:$46,CF!$8:$8,CG$9)</f>
        <v>0</v>
      </c>
      <c r="CH215" s="33">
        <f>SUMIFS(CF!$46:$46,CF!$8:$8,CH$9)</f>
        <v>0</v>
      </c>
      <c r="CI215" s="33">
        <f>SUMIFS(CF!$46:$46,CF!$8:$8,CI$9)</f>
        <v>0</v>
      </c>
      <c r="CJ215" s="33">
        <f>SUMIFS(CF!$46:$46,CF!$8:$8,CJ$9)</f>
        <v>0</v>
      </c>
      <c r="CK215" s="33">
        <f>SUMIFS(CF!$46:$46,CF!$8:$8,CK$9)</f>
        <v>0</v>
      </c>
      <c r="CL215" s="33">
        <f>SUMIFS(CF!$46:$46,CF!$8:$8,CL$9)</f>
        <v>0</v>
      </c>
      <c r="CM215" s="33">
        <f>SUMIFS(CF!$46:$46,CF!$8:$8,CM$9)</f>
        <v>0</v>
      </c>
      <c r="CN215" s="33">
        <f>SUMIFS(CF!$46:$46,CF!$8:$8,CN$9)</f>
        <v>839.44977387638903</v>
      </c>
      <c r="CO215" s="33">
        <f>SUMIFS(CF!$46:$46,CF!$8:$8,CO$9)</f>
        <v>0</v>
      </c>
      <c r="CP215" s="33">
        <f>SUMIFS(CF!$46:$46,CF!$8:$8,CP$9)</f>
        <v>0</v>
      </c>
      <c r="CQ215" s="33">
        <f>SUMIFS(CF!$46:$46,CF!$8:$8,CQ$9)</f>
        <v>0</v>
      </c>
      <c r="CR215" s="33">
        <f>SUMIFS(CF!$46:$46,CF!$8:$8,CR$9)</f>
        <v>0</v>
      </c>
      <c r="CS215" s="33">
        <f>SUMIFS(CF!$46:$46,CF!$8:$8,CS$9)</f>
        <v>0</v>
      </c>
      <c r="CT215" s="33">
        <f>SUMIFS(CF!$46:$46,CF!$8:$8,CT$9)</f>
        <v>0</v>
      </c>
      <c r="CU215" s="33">
        <f>SUMIFS(CF!$46:$46,CF!$8:$8,CU$9)</f>
        <v>0</v>
      </c>
      <c r="CV215" s="33">
        <f>SUMIFS(CF!$46:$46,CF!$8:$8,CV$9)</f>
        <v>0</v>
      </c>
      <c r="CW215" s="33">
        <f>SUMIFS(CF!$46:$46,CF!$8:$8,CW$9)</f>
        <v>0</v>
      </c>
      <c r="CX215" s="33">
        <f>SUMIFS(CF!$46:$46,CF!$8:$8,CX$9)</f>
        <v>0</v>
      </c>
      <c r="CY215" s="33">
        <f>SUMIFS(CF!$46:$46,CF!$8:$8,CY$9)</f>
        <v>0</v>
      </c>
      <c r="CZ215" s="33">
        <f>SUMIFS(CF!$46:$46,CF!$8:$8,CZ$9)</f>
        <v>716.95676824138877</v>
      </c>
      <c r="DA215" s="33">
        <f>SUMIFS(CF!$46:$46,CF!$8:$8,DA$9)</f>
        <v>0</v>
      </c>
      <c r="DB215" s="33">
        <f>SUMIFS(CF!$46:$46,CF!$8:$8,DB$9)</f>
        <v>0</v>
      </c>
      <c r="DC215" s="33">
        <f>SUMIFS(CF!$46:$46,CF!$8:$8,DC$9)</f>
        <v>0</v>
      </c>
      <c r="DD215" s="33">
        <f>SUMIFS(CF!$46:$46,CF!$8:$8,DD$9)</f>
        <v>0</v>
      </c>
      <c r="DE215" s="33">
        <f>SUMIFS(CF!$46:$46,CF!$8:$8,DE$9)</f>
        <v>0</v>
      </c>
      <c r="DF215" s="33">
        <f>SUMIFS(CF!$46:$46,CF!$8:$8,DF$9)</f>
        <v>0</v>
      </c>
      <c r="DG215" s="33">
        <f>SUMIFS(CF!$46:$46,CF!$8:$8,DG$9)</f>
        <v>0</v>
      </c>
      <c r="DH215" s="33">
        <f>SUMIFS(CF!$46:$46,CF!$8:$8,DH$9)</f>
        <v>0</v>
      </c>
      <c r="DI215" s="33">
        <f>SUMIFS(CF!$46:$46,CF!$8:$8,DI$9)</f>
        <v>0</v>
      </c>
      <c r="DJ215" s="33">
        <f>SUMIFS(CF!$46:$46,CF!$8:$8,DJ$9)</f>
        <v>0</v>
      </c>
      <c r="DK215" s="33">
        <f>SUMIFS(CF!$46:$46,CF!$8:$8,DK$9)</f>
        <v>0</v>
      </c>
      <c r="DL215" s="33">
        <f>SUMIFS(CF!$46:$46,CF!$8:$8,DL$9)</f>
        <v>929.92347252318291</v>
      </c>
      <c r="DM215" s="33">
        <f>SUMIFS(CF!$46:$46,CF!$8:$8,DM$9)</f>
        <v>0</v>
      </c>
      <c r="DN215" s="33">
        <f>SUMIFS(CF!$46:$46,CF!$8:$8,DN$9)</f>
        <v>0</v>
      </c>
      <c r="DO215" s="33">
        <f>SUMIFS(CF!$46:$46,CF!$8:$8,DO$9)</f>
        <v>0</v>
      </c>
      <c r="DP215" s="33">
        <f>SUMIFS(CF!$46:$46,CF!$8:$8,DP$9)</f>
        <v>0</v>
      </c>
      <c r="DQ215" s="33">
        <f>SUMIFS(CF!$46:$46,CF!$8:$8,DQ$9)</f>
        <v>0</v>
      </c>
      <c r="DR215" s="33">
        <f>SUMIFS(CF!$46:$46,CF!$8:$8,DR$9)</f>
        <v>0</v>
      </c>
      <c r="DS215" s="33">
        <f>SUMIFS(CF!$46:$46,CF!$8:$8,DS$9)</f>
        <v>0</v>
      </c>
      <c r="DT215" s="33">
        <f>SUMIFS(CF!$46:$46,CF!$8:$8,DT$9)</f>
        <v>0</v>
      </c>
      <c r="DU215" s="33">
        <f>SUMIFS(CF!$46:$46,CF!$8:$8,DU$9)</f>
        <v>0</v>
      </c>
      <c r="DV215" s="33">
        <f>SUMIFS(CF!$46:$46,CF!$8:$8,DV$9)</f>
        <v>0</v>
      </c>
      <c r="DW215" s="33">
        <f>SUMIFS(CF!$46:$46,CF!$8:$8,DW$9)</f>
        <v>0</v>
      </c>
      <c r="DX215" s="33">
        <f>SUMIFS(CF!$46:$46,CF!$8:$8,DX$9)</f>
        <v>1108.4840527109463</v>
      </c>
      <c r="DY215" s="33">
        <f>SUMIFS(CF!$46:$46,CF!$8:$8,DY$9)</f>
        <v>0</v>
      </c>
      <c r="DZ215" s="33">
        <f>SUMIFS(CF!$46:$46,CF!$8:$8,DZ$9)</f>
        <v>0</v>
      </c>
      <c r="EA215" s="33">
        <f>SUMIFS(CF!$46:$46,CF!$8:$8,EA$9)</f>
        <v>0</v>
      </c>
      <c r="EB215" s="33">
        <f>SUMIFS(CF!$46:$46,CF!$8:$8,EB$9)</f>
        <v>0</v>
      </c>
      <c r="EC215" s="33">
        <f>SUMIFS(CF!$46:$46,CF!$8:$8,EC$9)</f>
        <v>0</v>
      </c>
      <c r="ED215" s="33">
        <f>SUMIFS(CF!$46:$46,CF!$8:$8,ED$9)</f>
        <v>0</v>
      </c>
      <c r="EE215" s="33">
        <f>SUMIFS(CF!$46:$46,CF!$8:$8,EE$9)</f>
        <v>0</v>
      </c>
      <c r="EF215" s="33">
        <f>SUMIFS(CF!$46:$46,CF!$8:$8,EF$9)</f>
        <v>0</v>
      </c>
      <c r="EG215" s="33">
        <f>SUMIFS(CF!$46:$46,CF!$8:$8,EG$9)</f>
        <v>0</v>
      </c>
      <c r="EH215" s="33">
        <f>SUMIFS(CF!$46:$46,CF!$8:$8,EH$9)</f>
        <v>0</v>
      </c>
      <c r="EI215" s="33">
        <f>SUMIFS(CF!$46:$46,CF!$8:$8,EI$9)</f>
        <v>0</v>
      </c>
      <c r="EJ215" s="3"/>
      <c r="EK215" s="3"/>
    </row>
    <row r="216" spans="1:14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2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</row>
    <row r="217" spans="1:141" x14ac:dyDescent="0.25">
      <c r="A217" s="3"/>
      <c r="B217" s="3"/>
      <c r="C217" s="3"/>
      <c r="D217" s="3"/>
      <c r="E217" s="3"/>
      <c r="F217" s="10" t="str">
        <f>KPI!$F$244</f>
        <v>Оплата налога на прибыль</v>
      </c>
      <c r="G217" s="3"/>
      <c r="H217" s="3"/>
      <c r="I217" s="3"/>
      <c r="J217" s="5" t="str">
        <f>IF($F217="","",INDEX(KPI!$I$11:$I$275,SUMIFS(KPI!$E$11:$E$275,KPI!$F$11:$F$275,$F217)))</f>
        <v>тыс.руб.</v>
      </c>
      <c r="K217" s="3"/>
      <c r="L217" s="3"/>
      <c r="M217" s="3"/>
      <c r="N217" s="3"/>
      <c r="O217" s="3"/>
      <c r="P217" s="3"/>
      <c r="Q217" s="12">
        <f>SUM(S217:EJ217)</f>
        <v>140552.49239191564</v>
      </c>
      <c r="R217" s="3"/>
      <c r="S217" s="55"/>
      <c r="T217" s="33">
        <f>SUMIFS(CF!$48:$48,CF!$8:$8,T$9)</f>
        <v>0</v>
      </c>
      <c r="U217" s="33">
        <f>SUMIFS(CF!$48:$48,CF!$8:$8,U$9)</f>
        <v>0</v>
      </c>
      <c r="V217" s="33">
        <f>SUMIFS(CF!$48:$48,CF!$8:$8,V$9)</f>
        <v>0</v>
      </c>
      <c r="W217" s="33">
        <f>SUMIFS(CF!$48:$48,CF!$8:$8,W$9)</f>
        <v>0</v>
      </c>
      <c r="X217" s="33">
        <f>SUMIFS(CF!$48:$48,CF!$8:$8,X$9)</f>
        <v>0</v>
      </c>
      <c r="Y217" s="33">
        <f>SUMIFS(CF!$48:$48,CF!$8:$8,Y$9)</f>
        <v>0</v>
      </c>
      <c r="Z217" s="33">
        <f>SUMIFS(CF!$48:$48,CF!$8:$8,Z$9)</f>
        <v>0</v>
      </c>
      <c r="AA217" s="33">
        <f>SUMIFS(CF!$48:$48,CF!$8:$8,AA$9)</f>
        <v>0</v>
      </c>
      <c r="AB217" s="33">
        <f>SUMIFS(CF!$48:$48,CF!$8:$8,AB$9)</f>
        <v>0</v>
      </c>
      <c r="AC217" s="33">
        <f>SUMIFS(CF!$48:$48,CF!$8:$8,AC$9)</f>
        <v>0</v>
      </c>
      <c r="AD217" s="33">
        <f>SUMIFS(CF!$48:$48,CF!$8:$8,AD$9)</f>
        <v>0</v>
      </c>
      <c r="AE217" s="33">
        <f>SUMIFS(CF!$48:$48,CF!$8:$8,AE$9)</f>
        <v>0</v>
      </c>
      <c r="AF217" s="33">
        <f>SUMIFS(CF!$48:$48,CF!$8:$8,AF$9)</f>
        <v>0</v>
      </c>
      <c r="AG217" s="33">
        <f>SUMIFS(CF!$48:$48,CF!$8:$8,AG$9)</f>
        <v>0</v>
      </c>
      <c r="AH217" s="33">
        <f>SUMIFS(CF!$48:$48,CF!$8:$8,AH$9)</f>
        <v>0</v>
      </c>
      <c r="AI217" s="33">
        <f>SUMIFS(CF!$48:$48,CF!$8:$8,AI$9)</f>
        <v>0</v>
      </c>
      <c r="AJ217" s="33">
        <f>SUMIFS(CF!$48:$48,CF!$8:$8,AJ$9)</f>
        <v>0</v>
      </c>
      <c r="AK217" s="33">
        <f>SUMIFS(CF!$48:$48,CF!$8:$8,AK$9)</f>
        <v>0</v>
      </c>
      <c r="AL217" s="33">
        <f>SUMIFS(CF!$48:$48,CF!$8:$8,AL$9)</f>
        <v>0</v>
      </c>
      <c r="AM217" s="33">
        <f>SUMIFS(CF!$48:$48,CF!$8:$8,AM$9)</f>
        <v>0</v>
      </c>
      <c r="AN217" s="33">
        <f>SUMIFS(CF!$48:$48,CF!$8:$8,AN$9)</f>
        <v>0</v>
      </c>
      <c r="AO217" s="33">
        <f>SUMIFS(CF!$48:$48,CF!$8:$8,AO$9)</f>
        <v>0</v>
      </c>
      <c r="AP217" s="33">
        <f>SUMIFS(CF!$48:$48,CF!$8:$8,AP$9)</f>
        <v>0</v>
      </c>
      <c r="AQ217" s="33">
        <f>SUMIFS(CF!$48:$48,CF!$8:$8,AQ$9)</f>
        <v>0</v>
      </c>
      <c r="AR217" s="33">
        <f>SUMIFS(CF!$48:$48,CF!$8:$8,AR$9)</f>
        <v>0</v>
      </c>
      <c r="AS217" s="33">
        <f>SUMIFS(CF!$48:$48,CF!$8:$8,AS$9)</f>
        <v>0</v>
      </c>
      <c r="AT217" s="33">
        <f>SUMIFS(CF!$48:$48,CF!$8:$8,AT$9)</f>
        <v>0</v>
      </c>
      <c r="AU217" s="33">
        <f>SUMIFS(CF!$48:$48,CF!$8:$8,AU$9)</f>
        <v>0</v>
      </c>
      <c r="AV217" s="33">
        <f>SUMIFS(CF!$48:$48,CF!$8:$8,AV$9)</f>
        <v>0</v>
      </c>
      <c r="AW217" s="33">
        <f>SUMIFS(CF!$48:$48,CF!$8:$8,AW$9)</f>
        <v>0</v>
      </c>
      <c r="AX217" s="33">
        <f>SUMIFS(CF!$48:$48,CF!$8:$8,AX$9)</f>
        <v>0</v>
      </c>
      <c r="AY217" s="33">
        <f>SUMIFS(CF!$48:$48,CF!$8:$8,AY$9)</f>
        <v>0</v>
      </c>
      <c r="AZ217" s="33">
        <f>SUMIFS(CF!$48:$48,CF!$8:$8,AZ$9)</f>
        <v>0</v>
      </c>
      <c r="BA217" s="33">
        <f>SUMIFS(CF!$48:$48,CF!$8:$8,BA$9)</f>
        <v>0</v>
      </c>
      <c r="BB217" s="33">
        <f>SUMIFS(CF!$48:$48,CF!$8:$8,BB$9)</f>
        <v>0</v>
      </c>
      <c r="BC217" s="33">
        <f>SUMIFS(CF!$48:$48,CF!$8:$8,BC$9)</f>
        <v>0</v>
      </c>
      <c r="BD217" s="33">
        <f>SUMIFS(CF!$48:$48,CF!$8:$8,BD$9)</f>
        <v>0</v>
      </c>
      <c r="BE217" s="33">
        <f>SUMIFS(CF!$48:$48,CF!$8:$8,BE$9)</f>
        <v>0</v>
      </c>
      <c r="BF217" s="33">
        <f>SUMIFS(CF!$48:$48,CF!$8:$8,BF$9)</f>
        <v>0</v>
      </c>
      <c r="BG217" s="33">
        <f>SUMIFS(CF!$48:$48,CF!$8:$8,BG$9)</f>
        <v>0</v>
      </c>
      <c r="BH217" s="33">
        <f>SUMIFS(CF!$48:$48,CF!$8:$8,BH$9)</f>
        <v>0</v>
      </c>
      <c r="BI217" s="33">
        <f>SUMIFS(CF!$48:$48,CF!$8:$8,BI$9)</f>
        <v>0</v>
      </c>
      <c r="BJ217" s="33">
        <f>SUMIFS(CF!$48:$48,CF!$8:$8,BJ$9)</f>
        <v>0</v>
      </c>
      <c r="BK217" s="33">
        <f>SUMIFS(CF!$48:$48,CF!$8:$8,BK$9)</f>
        <v>0</v>
      </c>
      <c r="BL217" s="33">
        <f>SUMIFS(CF!$48:$48,CF!$8:$8,BL$9)</f>
        <v>0</v>
      </c>
      <c r="BM217" s="33">
        <f>SUMIFS(CF!$48:$48,CF!$8:$8,BM$9)</f>
        <v>0</v>
      </c>
      <c r="BN217" s="33">
        <f>SUMIFS(CF!$48:$48,CF!$8:$8,BN$9)</f>
        <v>0</v>
      </c>
      <c r="BO217" s="33">
        <f>SUMIFS(CF!$48:$48,CF!$8:$8,BO$9)</f>
        <v>0</v>
      </c>
      <c r="BP217" s="33">
        <f>SUMIFS(CF!$48:$48,CF!$8:$8,BP$9)</f>
        <v>0</v>
      </c>
      <c r="BQ217" s="33">
        <f>SUMIFS(CF!$48:$48,CF!$8:$8,BQ$9)</f>
        <v>0</v>
      </c>
      <c r="BR217" s="33">
        <f>SUMIFS(CF!$48:$48,CF!$8:$8,BR$9)</f>
        <v>0</v>
      </c>
      <c r="BS217" s="33">
        <f>SUMIFS(CF!$48:$48,CF!$8:$8,BS$9)</f>
        <v>0</v>
      </c>
      <c r="BT217" s="33">
        <f>SUMIFS(CF!$48:$48,CF!$8:$8,BT$9)</f>
        <v>0</v>
      </c>
      <c r="BU217" s="33">
        <f>SUMIFS(CF!$48:$48,CF!$8:$8,BU$9)</f>
        <v>0</v>
      </c>
      <c r="BV217" s="33">
        <f>SUMIFS(CF!$48:$48,CF!$8:$8,BV$9)</f>
        <v>0</v>
      </c>
      <c r="BW217" s="33">
        <f>SUMIFS(CF!$48:$48,CF!$8:$8,BW$9)</f>
        <v>0</v>
      </c>
      <c r="BX217" s="33">
        <f>SUMIFS(CF!$48:$48,CF!$8:$8,BX$9)</f>
        <v>0</v>
      </c>
      <c r="BY217" s="33">
        <f>SUMIFS(CF!$48:$48,CF!$8:$8,BY$9)</f>
        <v>0</v>
      </c>
      <c r="BZ217" s="33">
        <f>SUMIFS(CF!$48:$48,CF!$8:$8,BZ$9)</f>
        <v>0</v>
      </c>
      <c r="CA217" s="33">
        <f>SUMIFS(CF!$48:$48,CF!$8:$8,CA$9)</f>
        <v>0</v>
      </c>
      <c r="CB217" s="33">
        <f>SUMIFS(CF!$48:$48,CF!$8:$8,CB$9)</f>
        <v>5904.1644380167245</v>
      </c>
      <c r="CC217" s="33">
        <f>SUMIFS(CF!$48:$48,CF!$8:$8,CC$9)</f>
        <v>0</v>
      </c>
      <c r="CD217" s="33">
        <f>SUMIFS(CF!$48:$48,CF!$8:$8,CD$9)</f>
        <v>0</v>
      </c>
      <c r="CE217" s="33">
        <f>SUMIFS(CF!$48:$48,CF!$8:$8,CE$9)</f>
        <v>0</v>
      </c>
      <c r="CF217" s="33">
        <f>SUMIFS(CF!$48:$48,CF!$8:$8,CF$9)</f>
        <v>0</v>
      </c>
      <c r="CG217" s="33">
        <f>SUMIFS(CF!$48:$48,CF!$8:$8,CG$9)</f>
        <v>0</v>
      </c>
      <c r="CH217" s="33">
        <f>SUMIFS(CF!$48:$48,CF!$8:$8,CH$9)</f>
        <v>0</v>
      </c>
      <c r="CI217" s="33">
        <f>SUMIFS(CF!$48:$48,CF!$8:$8,CI$9)</f>
        <v>0</v>
      </c>
      <c r="CJ217" s="33">
        <f>SUMIFS(CF!$48:$48,CF!$8:$8,CJ$9)</f>
        <v>0</v>
      </c>
      <c r="CK217" s="33">
        <f>SUMIFS(CF!$48:$48,CF!$8:$8,CK$9)</f>
        <v>0</v>
      </c>
      <c r="CL217" s="33">
        <f>SUMIFS(CF!$48:$48,CF!$8:$8,CL$9)</f>
        <v>0</v>
      </c>
      <c r="CM217" s="33">
        <f>SUMIFS(CF!$48:$48,CF!$8:$8,CM$9)</f>
        <v>0</v>
      </c>
      <c r="CN217" s="33">
        <f>SUMIFS(CF!$48:$48,CF!$8:$8,CN$9)</f>
        <v>16258.990043819249</v>
      </c>
      <c r="CO217" s="33">
        <f>SUMIFS(CF!$48:$48,CF!$8:$8,CO$9)</f>
        <v>0</v>
      </c>
      <c r="CP217" s="33">
        <f>SUMIFS(CF!$48:$48,CF!$8:$8,CP$9)</f>
        <v>0</v>
      </c>
      <c r="CQ217" s="33">
        <f>SUMIFS(CF!$48:$48,CF!$8:$8,CQ$9)</f>
        <v>0</v>
      </c>
      <c r="CR217" s="33">
        <f>SUMIFS(CF!$48:$48,CF!$8:$8,CR$9)</f>
        <v>0</v>
      </c>
      <c r="CS217" s="33">
        <f>SUMIFS(CF!$48:$48,CF!$8:$8,CS$9)</f>
        <v>0</v>
      </c>
      <c r="CT217" s="33">
        <f>SUMIFS(CF!$48:$48,CF!$8:$8,CT$9)</f>
        <v>0</v>
      </c>
      <c r="CU217" s="33">
        <f>SUMIFS(CF!$48:$48,CF!$8:$8,CU$9)</f>
        <v>0</v>
      </c>
      <c r="CV217" s="33">
        <f>SUMIFS(CF!$48:$48,CF!$8:$8,CV$9)</f>
        <v>0</v>
      </c>
      <c r="CW217" s="33">
        <f>SUMIFS(CF!$48:$48,CF!$8:$8,CW$9)</f>
        <v>0</v>
      </c>
      <c r="CX217" s="33">
        <f>SUMIFS(CF!$48:$48,CF!$8:$8,CX$9)</f>
        <v>0</v>
      </c>
      <c r="CY217" s="33">
        <f>SUMIFS(CF!$48:$48,CF!$8:$8,CY$9)</f>
        <v>0</v>
      </c>
      <c r="CZ217" s="33">
        <f>SUMIFS(CF!$48:$48,CF!$8:$8,CZ$9)</f>
        <v>31594.343572676382</v>
      </c>
      <c r="DA217" s="33">
        <f>SUMIFS(CF!$48:$48,CF!$8:$8,DA$9)</f>
        <v>0</v>
      </c>
      <c r="DB217" s="33">
        <f>SUMIFS(CF!$48:$48,CF!$8:$8,DB$9)</f>
        <v>0</v>
      </c>
      <c r="DC217" s="33">
        <f>SUMIFS(CF!$48:$48,CF!$8:$8,DC$9)</f>
        <v>0</v>
      </c>
      <c r="DD217" s="33">
        <f>SUMIFS(CF!$48:$48,CF!$8:$8,DD$9)</f>
        <v>0</v>
      </c>
      <c r="DE217" s="33">
        <f>SUMIFS(CF!$48:$48,CF!$8:$8,DE$9)</f>
        <v>0</v>
      </c>
      <c r="DF217" s="33">
        <f>SUMIFS(CF!$48:$48,CF!$8:$8,DF$9)</f>
        <v>0</v>
      </c>
      <c r="DG217" s="33">
        <f>SUMIFS(CF!$48:$48,CF!$8:$8,DG$9)</f>
        <v>0</v>
      </c>
      <c r="DH217" s="33">
        <f>SUMIFS(CF!$48:$48,CF!$8:$8,DH$9)</f>
        <v>0</v>
      </c>
      <c r="DI217" s="33">
        <f>SUMIFS(CF!$48:$48,CF!$8:$8,DI$9)</f>
        <v>0</v>
      </c>
      <c r="DJ217" s="33">
        <f>SUMIFS(CF!$48:$48,CF!$8:$8,DJ$9)</f>
        <v>0</v>
      </c>
      <c r="DK217" s="33">
        <f>SUMIFS(CF!$48:$48,CF!$8:$8,DK$9)</f>
        <v>0</v>
      </c>
      <c r="DL217" s="33">
        <f>SUMIFS(CF!$48:$48,CF!$8:$8,DL$9)</f>
        <v>42375.660400574954</v>
      </c>
      <c r="DM217" s="33">
        <f>SUMIFS(CF!$48:$48,CF!$8:$8,DM$9)</f>
        <v>0</v>
      </c>
      <c r="DN217" s="33">
        <f>SUMIFS(CF!$48:$48,CF!$8:$8,DN$9)</f>
        <v>0</v>
      </c>
      <c r="DO217" s="33">
        <f>SUMIFS(CF!$48:$48,CF!$8:$8,DO$9)</f>
        <v>0</v>
      </c>
      <c r="DP217" s="33">
        <f>SUMIFS(CF!$48:$48,CF!$8:$8,DP$9)</f>
        <v>0</v>
      </c>
      <c r="DQ217" s="33">
        <f>SUMIFS(CF!$48:$48,CF!$8:$8,DQ$9)</f>
        <v>0</v>
      </c>
      <c r="DR217" s="33">
        <f>SUMIFS(CF!$48:$48,CF!$8:$8,DR$9)</f>
        <v>0</v>
      </c>
      <c r="DS217" s="33">
        <f>SUMIFS(CF!$48:$48,CF!$8:$8,DS$9)</f>
        <v>0</v>
      </c>
      <c r="DT217" s="33">
        <f>SUMIFS(CF!$48:$48,CF!$8:$8,DT$9)</f>
        <v>0</v>
      </c>
      <c r="DU217" s="33">
        <f>SUMIFS(CF!$48:$48,CF!$8:$8,DU$9)</f>
        <v>0</v>
      </c>
      <c r="DV217" s="33">
        <f>SUMIFS(CF!$48:$48,CF!$8:$8,DV$9)</f>
        <v>0</v>
      </c>
      <c r="DW217" s="33">
        <f>SUMIFS(CF!$48:$48,CF!$8:$8,DW$9)</f>
        <v>0</v>
      </c>
      <c r="DX217" s="33">
        <f>SUMIFS(CF!$48:$48,CF!$8:$8,DX$9)</f>
        <v>44419.333936828349</v>
      </c>
      <c r="DY217" s="33">
        <f>SUMIFS(CF!$48:$48,CF!$8:$8,DY$9)</f>
        <v>0</v>
      </c>
      <c r="DZ217" s="33">
        <f>SUMIFS(CF!$48:$48,CF!$8:$8,DZ$9)</f>
        <v>0</v>
      </c>
      <c r="EA217" s="33">
        <f>SUMIFS(CF!$48:$48,CF!$8:$8,EA$9)</f>
        <v>0</v>
      </c>
      <c r="EB217" s="33">
        <f>SUMIFS(CF!$48:$48,CF!$8:$8,EB$9)</f>
        <v>0</v>
      </c>
      <c r="EC217" s="33">
        <f>SUMIFS(CF!$48:$48,CF!$8:$8,EC$9)</f>
        <v>0</v>
      </c>
      <c r="ED217" s="33">
        <f>SUMIFS(CF!$48:$48,CF!$8:$8,ED$9)</f>
        <v>0</v>
      </c>
      <c r="EE217" s="33">
        <f>SUMIFS(CF!$48:$48,CF!$8:$8,EE$9)</f>
        <v>0</v>
      </c>
      <c r="EF217" s="33">
        <f>SUMIFS(CF!$48:$48,CF!$8:$8,EF$9)</f>
        <v>0</v>
      </c>
      <c r="EG217" s="33">
        <f>SUMIFS(CF!$48:$48,CF!$8:$8,EG$9)</f>
        <v>0</v>
      </c>
      <c r="EH217" s="33">
        <f>SUMIFS(CF!$48:$48,CF!$8:$8,EH$9)</f>
        <v>0</v>
      </c>
      <c r="EI217" s="33">
        <f>SUMIFS(CF!$48:$48,CF!$8:$8,EI$9)</f>
        <v>0</v>
      </c>
      <c r="EJ217" s="3"/>
      <c r="EK217" s="3"/>
    </row>
    <row r="218" spans="1:14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2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</row>
    <row r="219" spans="1:141" x14ac:dyDescent="0.25">
      <c r="A219" s="3"/>
      <c r="B219" s="3"/>
      <c r="C219" s="3"/>
      <c r="D219" s="3"/>
      <c r="E219" s="3"/>
      <c r="F219" s="10" t="str">
        <f>KPI!$F$245</f>
        <v>расчет НДС</v>
      </c>
      <c r="G219" s="3"/>
      <c r="H219" s="3"/>
      <c r="I219" s="3"/>
      <c r="J219" s="5" t="str">
        <f>IF($F219="","",INDEX(KPI!$I$11:$I$275,SUMIFS(KPI!$E$11:$E$275,KPI!$F$11:$F$275,$F219)))</f>
        <v>тыс.руб.</v>
      </c>
      <c r="K219" s="3"/>
      <c r="L219" s="3"/>
      <c r="M219" s="3"/>
      <c r="N219" s="3"/>
      <c r="O219" s="3"/>
      <c r="P219" s="3"/>
      <c r="Q219" s="12">
        <f>SUM(S219:EJ219)</f>
        <v>278987.83665786765</v>
      </c>
      <c r="R219" s="3"/>
      <c r="S219" s="55"/>
      <c r="T219" s="33">
        <f>(T45-T11-T41-T59-SUM(T73:T92)-T123)*SUMIFS(условия!$182:$182,условия!$8:$8,"&lt;="&amp;T$9,условия!$9:$9,"&gt;="&amp;T$9)/(1+SUMIFS(условия!$182:$182,условия!$8:$8,"&lt;="&amp;T$9,условия!$9:$9,"&gt;="&amp;T$9))</f>
        <v>-1.6666666666666667</v>
      </c>
      <c r="U219" s="33">
        <f>(U45-U11-U41-U59-SUM(U73:U92)-U123)*SUMIFS(условия!$182:$182,условия!$8:$8,"&lt;="&amp;U$9,условия!$9:$9,"&gt;="&amp;U$9)/(1+SUMIFS(условия!$182:$182,условия!$8:$8,"&lt;="&amp;U$9,условия!$9:$9,"&gt;="&amp;U$9))</f>
        <v>-2918.3333333333335</v>
      </c>
      <c r="V219" s="33">
        <f>(V45-V11-V41-V59-SUM(V73:V92)-V123)*SUMIFS(условия!$182:$182,условия!$8:$8,"&lt;="&amp;V$9,условия!$9:$9,"&gt;="&amp;V$9)/(1+SUMIFS(условия!$182:$182,условия!$8:$8,"&lt;="&amp;V$9,условия!$9:$9,"&gt;="&amp;V$9))</f>
        <v>-2990.0833333333339</v>
      </c>
      <c r="W219" s="33">
        <f>(W45-W11-W41-W59-SUM(W73:W92)-W123)*SUMIFS(условия!$182:$182,условия!$8:$8,"&lt;="&amp;W$9,условия!$9:$9,"&gt;="&amp;W$9)/(1+SUMIFS(условия!$182:$182,условия!$8:$8,"&lt;="&amp;W$9,условия!$9:$9,"&gt;="&amp;W$9))</f>
        <v>-2990.0833333333339</v>
      </c>
      <c r="X219" s="33">
        <f>(X45-X11-X41-X59-SUM(X73:X92)-X123)*SUMIFS(условия!$182:$182,условия!$8:$8,"&lt;="&amp;X$9,условия!$9:$9,"&gt;="&amp;X$9)/(1+SUMIFS(условия!$182:$182,условия!$8:$8,"&lt;="&amp;X$9,условия!$9:$9,"&gt;="&amp;X$9))</f>
        <v>-4681.7910973846701</v>
      </c>
      <c r="Y219" s="33">
        <f>(Y45-Y11-Y41-Y59-SUM(Y73:Y92)-Y123)*SUMIFS(условия!$182:$182,условия!$8:$8,"&lt;="&amp;Y$9,условия!$9:$9,"&gt;="&amp;Y$9)/(1+SUMIFS(условия!$182:$182,условия!$8:$8,"&lt;="&amp;Y$9,условия!$9:$9,"&gt;="&amp;Y$9))</f>
        <v>-12.737749999999988</v>
      </c>
      <c r="Z219" s="33">
        <f>(Z45-Z11-Z41-Z59-SUM(Z73:Z92)-Z123)*SUMIFS(условия!$182:$182,условия!$8:$8,"&lt;="&amp;Z$9,условия!$9:$9,"&gt;="&amp;Z$9)/(1+SUMIFS(условия!$182:$182,условия!$8:$8,"&lt;="&amp;Z$9,условия!$9:$9,"&gt;="&amp;Z$9))</f>
        <v>-13.622616451612849</v>
      </c>
      <c r="AA219" s="33">
        <f>(AA45-AA11-AA41-AA59-SUM(AA73:AA92)-AA123)*SUMIFS(условия!$182:$182,условия!$8:$8,"&lt;="&amp;AA$9,условия!$9:$9,"&gt;="&amp;AA$9)/(1+SUMIFS(условия!$182:$182,условия!$8:$8,"&lt;="&amp;AA$9,условия!$9:$9,"&gt;="&amp;AA$9))</f>
        <v>3.4200345806451846</v>
      </c>
      <c r="AB219" s="33">
        <f>(AB45-AB11-AB41-AB59-SUM(AB73:AB92)-AB123)*SUMIFS(условия!$182:$182,условия!$8:$8,"&lt;="&amp;AB$9,условия!$9:$9,"&gt;="&amp;AB$9)/(1+SUMIFS(условия!$182:$182,условия!$8:$8,"&lt;="&amp;AB$9,условия!$9:$9,"&gt;="&amp;AB$9))</f>
        <v>92.341176258064536</v>
      </c>
      <c r="AC219" s="33">
        <f>(AC45-AC11-AC41-AC59-SUM(AC73:AC92)-AC123)*SUMIFS(условия!$182:$182,условия!$8:$8,"&lt;="&amp;AC$9,условия!$9:$9,"&gt;="&amp;AC$9)/(1+SUMIFS(условия!$182:$182,условия!$8:$8,"&lt;="&amp;AC$9,условия!$9:$9,"&gt;="&amp;AC$9))</f>
        <v>-13.064983296566501</v>
      </c>
      <c r="AD219" s="33">
        <f>(AD45-AD11-AD41-AD59-SUM(AD73:AD92)-AD123)*SUMIFS(условия!$182:$182,условия!$8:$8,"&lt;="&amp;AD$9,условия!$9:$9,"&gt;="&amp;AD$9)/(1+SUMIFS(условия!$182:$182,условия!$8:$8,"&lt;="&amp;AD$9,условия!$9:$9,"&gt;="&amp;AD$9))</f>
        <v>-592.04482877003034</v>
      </c>
      <c r="AE219" s="33">
        <f>(AE45-AE11-AE41-AE59-SUM(AE73:AE92)-AE123)*SUMIFS(условия!$182:$182,условия!$8:$8,"&lt;="&amp;AE$9,условия!$9:$9,"&gt;="&amp;AE$9)/(1+SUMIFS(условия!$182:$182,условия!$8:$8,"&lt;="&amp;AE$9,условия!$9:$9,"&gt;="&amp;AE$9))</f>
        <v>236.91389677419352</v>
      </c>
      <c r="AF219" s="33">
        <f>(AF45-AF11-AF41-AF59-SUM(AF73:AF92)-AF123)*SUMIFS(условия!$182:$182,условия!$8:$8,"&lt;="&amp;AF$9,условия!$9:$9,"&gt;="&amp;AF$9)/(1+SUMIFS(условия!$182:$182,условия!$8:$8,"&lt;="&amp;AF$9,условия!$9:$9,"&gt;="&amp;AF$9))</f>
        <v>-2658.1924653739043</v>
      </c>
      <c r="AG219" s="33">
        <f>(AG45-AG11-AG41-AG59-SUM(AG73:AG92)-AG123)*SUMIFS(условия!$182:$182,условия!$8:$8,"&lt;="&amp;AG$9,условия!$9:$9,"&gt;="&amp;AG$9)/(1+SUMIFS(условия!$182:$182,условия!$8:$8,"&lt;="&amp;AG$9,условия!$9:$9,"&gt;="&amp;AG$9))</f>
        <v>629.10068053677423</v>
      </c>
      <c r="AH219" s="33">
        <f>(AH45-AH11-AH41-AH59-SUM(AH73:AH92)-AH123)*SUMIFS(условия!$182:$182,условия!$8:$8,"&lt;="&amp;AH$9,условия!$9:$9,"&gt;="&amp;AH$9)/(1+SUMIFS(условия!$182:$182,условия!$8:$8,"&lt;="&amp;AH$9,условия!$9:$9,"&gt;="&amp;AH$9))</f>
        <v>716.17559747096766</v>
      </c>
      <c r="AI219" s="33">
        <f>(AI45-AI11-AI41-AI59-SUM(AI73:AI92)-AI123)*SUMIFS(условия!$182:$182,условия!$8:$8,"&lt;="&amp;AI$9,условия!$9:$9,"&gt;="&amp;AI$9)/(1+SUMIFS(условия!$182:$182,условия!$8:$8,"&lt;="&amp;AI$9,условия!$9:$9,"&gt;="&amp;AI$9))</f>
        <v>746.0946571065806</v>
      </c>
      <c r="AJ219" s="33">
        <f>(AJ45-AJ11-AJ41-AJ59-SUM(AJ73:AJ92)-AJ123)*SUMIFS(условия!$182:$182,условия!$8:$8,"&lt;="&amp;AJ$9,условия!$9:$9,"&gt;="&amp;AJ$9)/(1+SUMIFS(условия!$182:$182,условия!$8:$8,"&lt;="&amp;AJ$9,условия!$9:$9,"&gt;="&amp;AJ$9))</f>
        <v>382.11948056840947</v>
      </c>
      <c r="AK219" s="33">
        <f>(AK45-AK11-AK41-AK59-SUM(AK73:AK92)-AK123)*SUMIFS(условия!$182:$182,условия!$8:$8,"&lt;="&amp;AK$9,условия!$9:$9,"&gt;="&amp;AK$9)/(1+SUMIFS(условия!$182:$182,условия!$8:$8,"&lt;="&amp;AK$9,условия!$9:$9,"&gt;="&amp;AK$9))</f>
        <v>-393.57917005905529</v>
      </c>
      <c r="AL219" s="33">
        <f>(AL45-AL11-AL41-AL59-SUM(AL73:AL92)-AL123)*SUMIFS(условия!$182:$182,условия!$8:$8,"&lt;="&amp;AL$9,условия!$9:$9,"&gt;="&amp;AL$9)/(1+SUMIFS(условия!$182:$182,условия!$8:$8,"&lt;="&amp;AL$9,условия!$9:$9,"&gt;="&amp;AL$9))</f>
        <v>61.945163191540914</v>
      </c>
      <c r="AM219" s="33">
        <f>(AM45-AM11-AM41-AM59-SUM(AM73:AM92)-AM123)*SUMIFS(условия!$182:$182,условия!$8:$8,"&lt;="&amp;AM$9,условия!$9:$9,"&gt;="&amp;AM$9)/(1+SUMIFS(условия!$182:$182,условия!$8:$8,"&lt;="&amp;AM$9,условия!$9:$9,"&gt;="&amp;AM$9))</f>
        <v>-1310.8403189891844</v>
      </c>
      <c r="AN219" s="33">
        <f>(AN45-AN11-AN41-AN59-SUM(AN73:AN92)-AN123)*SUMIFS(условия!$182:$182,условия!$8:$8,"&lt;="&amp;AN$9,условия!$9:$9,"&gt;="&amp;AN$9)/(1+SUMIFS(условия!$182:$182,условия!$8:$8,"&lt;="&amp;AN$9,условия!$9:$9,"&gt;="&amp;AN$9))</f>
        <v>-1486.0356764443736</v>
      </c>
      <c r="AO219" s="33">
        <f>(AO45-AO11-AO41-AO59-SUM(AO73:AO92)-AO123)*SUMIFS(условия!$182:$182,условия!$8:$8,"&lt;="&amp;AO$9,условия!$9:$9,"&gt;="&amp;AO$9)/(1+SUMIFS(условия!$182:$182,условия!$8:$8,"&lt;="&amp;AO$9,условия!$9:$9,"&gt;="&amp;AO$9))</f>
        <v>1213.1906254603493</v>
      </c>
      <c r="AP219" s="33">
        <f>(AP45-AP11-AP41-AP59-SUM(AP73:AP92)-AP123)*SUMIFS(условия!$182:$182,условия!$8:$8,"&lt;="&amp;AP$9,условия!$9:$9,"&gt;="&amp;AP$9)/(1+SUMIFS(условия!$182:$182,условия!$8:$8,"&lt;="&amp;AP$9,условия!$9:$9,"&gt;="&amp;AP$9))</f>
        <v>-4403.4708341255227</v>
      </c>
      <c r="AQ219" s="33">
        <f>(AQ45-AQ11-AQ41-AQ59-SUM(AQ73:AQ92)-AQ123)*SUMIFS(условия!$182:$182,условия!$8:$8,"&lt;="&amp;AQ$9,условия!$9:$9,"&gt;="&amp;AQ$9)/(1+SUMIFS(условия!$182:$182,условия!$8:$8,"&lt;="&amp;AQ$9,условия!$9:$9,"&gt;="&amp;AQ$9))</f>
        <v>1472.5543753290315</v>
      </c>
      <c r="AR219" s="33">
        <f>(AR45-AR11-AR41-AR59-SUM(AR73:AR92)-AR123)*SUMIFS(условия!$182:$182,условия!$8:$8,"&lt;="&amp;AR$9,условия!$9:$9,"&gt;="&amp;AR$9)/(1+SUMIFS(условия!$182:$182,условия!$8:$8,"&lt;="&amp;AR$9,условия!$9:$9,"&gt;="&amp;AR$9))</f>
        <v>-1056.4803911653321</v>
      </c>
      <c r="AS219" s="33">
        <f>(AS45-AS11-AS41-AS59-SUM(AS73:AS92)-AS123)*SUMIFS(условия!$182:$182,условия!$8:$8,"&lt;="&amp;AS$9,условия!$9:$9,"&gt;="&amp;AS$9)/(1+SUMIFS(условия!$182:$182,условия!$8:$8,"&lt;="&amp;AS$9,условия!$9:$9,"&gt;="&amp;AS$9))</f>
        <v>2170.2394285515707</v>
      </c>
      <c r="AT219" s="33">
        <f>(AT45-AT11-AT41-AT59-SUM(AT73:AT92)-AT123)*SUMIFS(условия!$182:$182,условия!$8:$8,"&lt;="&amp;AT$9,условия!$9:$9,"&gt;="&amp;AT$9)/(1+SUMIFS(условия!$182:$182,условия!$8:$8,"&lt;="&amp;AT$9,условия!$9:$9,"&gt;="&amp;AT$9))</f>
        <v>-2926.2953772262808</v>
      </c>
      <c r="AU219" s="33">
        <f>(AU45-AU11-AU41-AU59-SUM(AU73:AU92)-AU123)*SUMIFS(условия!$182:$182,условия!$8:$8,"&lt;="&amp;AU$9,условия!$9:$9,"&gt;="&amp;AU$9)/(1+SUMIFS(условия!$182:$182,условия!$8:$8,"&lt;="&amp;AU$9,условия!$9:$9,"&gt;="&amp;AU$9))</f>
        <v>2515.0969219105036</v>
      </c>
      <c r="AV219" s="33">
        <f>(AV45-AV11-AV41-AV59-SUM(AV73:AV92)-AV123)*SUMIFS(условия!$182:$182,условия!$8:$8,"&lt;="&amp;AV$9,условия!$9:$9,"&gt;="&amp;AV$9)/(1+SUMIFS(условия!$182:$182,условия!$8:$8,"&lt;="&amp;AV$9,условия!$9:$9,"&gt;="&amp;AV$9))</f>
        <v>1838.4170850188386</v>
      </c>
      <c r="AW219" s="33">
        <f>(AW45-AW11-AW41-AW59-SUM(AW73:AW92)-AW123)*SUMIFS(условия!$182:$182,условия!$8:$8,"&lt;="&amp;AW$9,условия!$9:$9,"&gt;="&amp;AW$9)/(1+SUMIFS(условия!$182:$182,условия!$8:$8,"&lt;="&amp;AW$9,условия!$9:$9,"&gt;="&amp;AW$9))</f>
        <v>1483.1767897990883</v>
      </c>
      <c r="AX219" s="33">
        <f>(AX45-AX11-AX41-AX59-SUM(AX73:AX92)-AX123)*SUMIFS(условия!$182:$182,условия!$8:$8,"&lt;="&amp;AX$9,условия!$9:$9,"&gt;="&amp;AX$9)/(1+SUMIFS(условия!$182:$182,условия!$8:$8,"&lt;="&amp;AX$9,условия!$9:$9,"&gt;="&amp;AX$9))</f>
        <v>-333.97421970910818</v>
      </c>
      <c r="AY219" s="33">
        <f>(AY45-AY11-AY41-AY59-SUM(AY73:AY92)-AY123)*SUMIFS(условия!$182:$182,условия!$8:$8,"&lt;="&amp;AY$9,условия!$9:$9,"&gt;="&amp;AY$9)/(1+SUMIFS(условия!$182:$182,условия!$8:$8,"&lt;="&amp;AY$9,условия!$9:$9,"&gt;="&amp;AY$9))</f>
        <v>-2947.2835532590316</v>
      </c>
      <c r="AZ219" s="33">
        <f>(AZ45-AZ11-AZ41-AZ59-SUM(AZ73:AZ92)-AZ123)*SUMIFS(условия!$182:$182,условия!$8:$8,"&lt;="&amp;AZ$9,условия!$9:$9,"&gt;="&amp;AZ$9)/(1+SUMIFS(условия!$182:$182,условия!$8:$8,"&lt;="&amp;AZ$9,условия!$9:$9,"&gt;="&amp;AZ$9))</f>
        <v>-2385.1011687082923</v>
      </c>
      <c r="BA219" s="33">
        <f>(BA45-BA11-BA41-BA59-SUM(BA73:BA92)-BA123)*SUMIFS(условия!$182:$182,условия!$8:$8,"&lt;="&amp;BA$9,условия!$9:$9,"&gt;="&amp;BA$9)/(1+SUMIFS(условия!$182:$182,условия!$8:$8,"&lt;="&amp;BA$9,условия!$9:$9,"&gt;="&amp;BA$9))</f>
        <v>1989.7438045469714</v>
      </c>
      <c r="BB219" s="33">
        <f>(BB45-BB11-BB41-BB59-SUM(BB73:BB92)-BB123)*SUMIFS(условия!$182:$182,условия!$8:$8,"&lt;="&amp;BB$9,условия!$9:$9,"&gt;="&amp;BB$9)/(1+SUMIFS(условия!$182:$182,условия!$8:$8,"&lt;="&amp;BB$9,условия!$9:$9,"&gt;="&amp;BB$9))</f>
        <v>-9577.0103494776849</v>
      </c>
      <c r="BC219" s="33">
        <f>(BC45-BC11-BC41-BC59-SUM(BC73:BC92)-BC123)*SUMIFS(условия!$182:$182,условия!$8:$8,"&lt;="&amp;BC$9,условия!$9:$9,"&gt;="&amp;BC$9)/(1+SUMIFS(условия!$182:$182,условия!$8:$8,"&lt;="&amp;BC$9,условия!$9:$9,"&gt;="&amp;BC$9))</f>
        <v>4606.05857999828</v>
      </c>
      <c r="BD219" s="33">
        <f>(BD45-BD11-BD41-BD59-SUM(BD73:BD92)-BD123)*SUMIFS(условия!$182:$182,условия!$8:$8,"&lt;="&amp;BD$9,условия!$9:$9,"&gt;="&amp;BD$9)/(1+SUMIFS(условия!$182:$182,условия!$8:$8,"&lt;="&amp;BD$9,условия!$9:$9,"&gt;="&amp;BD$9))</f>
        <v>3833.2913403749862</v>
      </c>
      <c r="BE219" s="33">
        <f>(BE45-BE11-BE41-BE59-SUM(BE73:BE92)-BE123)*SUMIFS(условия!$182:$182,условия!$8:$8,"&lt;="&amp;BE$9,условия!$9:$9,"&gt;="&amp;BE$9)/(1+SUMIFS(условия!$182:$182,условия!$8:$8,"&lt;="&amp;BE$9,условия!$9:$9,"&gt;="&amp;BE$9))</f>
        <v>4670.1289817566649</v>
      </c>
      <c r="BF219" s="33">
        <f>(BF45-BF11-BF41-BF59-SUM(BF73:BF92)-BF123)*SUMIFS(условия!$182:$182,условия!$8:$8,"&lt;="&amp;BF$9,условия!$9:$9,"&gt;="&amp;BF$9)/(1+SUMIFS(условия!$182:$182,условия!$8:$8,"&lt;="&amp;BF$9,условия!$9:$9,"&gt;="&amp;BF$9))</f>
        <v>-6133.1824191847973</v>
      </c>
      <c r="BG219" s="33">
        <f>(BG45-BG11-BG41-BG59-SUM(BG73:BG92)-BG123)*SUMIFS(условия!$182:$182,условия!$8:$8,"&lt;="&amp;BG$9,условия!$9:$9,"&gt;="&amp;BG$9)/(1+SUMIFS(условия!$182:$182,условия!$8:$8,"&lt;="&amp;BG$9,условия!$9:$9,"&gt;="&amp;BG$9))</f>
        <v>5408.0377621778034</v>
      </c>
      <c r="BH219" s="33">
        <f>(BH45-BH11-BH41-BH59-SUM(BH73:BH92)-BH123)*SUMIFS(условия!$182:$182,условия!$8:$8,"&lt;="&amp;BH$9,условия!$9:$9,"&gt;="&amp;BH$9)/(1+SUMIFS(условия!$182:$182,условия!$8:$8,"&lt;="&amp;BH$9,условия!$9:$9,"&gt;="&amp;BH$9))</f>
        <v>4063.5796339734948</v>
      </c>
      <c r="BI219" s="33">
        <f>(BI45-BI11-BI41-BI59-SUM(BI73:BI92)-BI123)*SUMIFS(условия!$182:$182,условия!$8:$8,"&lt;="&amp;BI$9,условия!$9:$9,"&gt;="&amp;BI$9)/(1+SUMIFS(условия!$182:$182,условия!$8:$8,"&lt;="&amp;BI$9,условия!$9:$9,"&gt;="&amp;BI$9))</f>
        <v>-294.42682068914365</v>
      </c>
      <c r="BJ219" s="33">
        <f>(BJ45-BJ11-BJ41-BJ59-SUM(BJ73:BJ92)-BJ123)*SUMIFS(условия!$182:$182,условия!$8:$8,"&lt;="&amp;BJ$9,условия!$9:$9,"&gt;="&amp;BJ$9)/(1+SUMIFS(условия!$182:$182,условия!$8:$8,"&lt;="&amp;BJ$9,условия!$9:$9,"&gt;="&amp;BJ$9))</f>
        <v>3348.1944480216507</v>
      </c>
      <c r="BK219" s="33">
        <f>(BK45-BK11-BK41-BK59-SUM(BK73:BK92)-BK123)*SUMIFS(условия!$182:$182,условия!$8:$8,"&lt;="&amp;BK$9,условия!$9:$9,"&gt;="&amp;BK$9)/(1+SUMIFS(условия!$182:$182,условия!$8:$8,"&lt;="&amp;BK$9,условия!$9:$9,"&gt;="&amp;BK$9))</f>
        <v>-9537.3488203320157</v>
      </c>
      <c r="BL219" s="33">
        <f>(BL45-BL11-BL41-BL59-SUM(BL73:BL92)-BL123)*SUMIFS(условия!$182:$182,условия!$8:$8,"&lt;="&amp;BL$9,условия!$9:$9,"&gt;="&amp;BL$9)/(1+SUMIFS(условия!$182:$182,условия!$8:$8,"&lt;="&amp;BL$9,условия!$9:$9,"&gt;="&amp;BL$9))</f>
        <v>3734.2179014089561</v>
      </c>
      <c r="BM219" s="33">
        <f>(BM45-BM11-BM41-BM59-SUM(BM73:BM92)-BM123)*SUMIFS(условия!$182:$182,условия!$8:$8,"&lt;="&amp;BM$9,условия!$9:$9,"&gt;="&amp;BM$9)/(1+SUMIFS(условия!$182:$182,условия!$8:$8,"&lt;="&amp;BM$9,условия!$9:$9,"&gt;="&amp;BM$9))</f>
        <v>-8053.8281712891712</v>
      </c>
      <c r="BN219" s="33">
        <f>(BN45-BN11-BN41-BN59-SUM(BN73:BN92)-BN123)*SUMIFS(условия!$182:$182,условия!$8:$8,"&lt;="&amp;BN$9,условия!$9:$9,"&gt;="&amp;BN$9)/(1+SUMIFS(условия!$182:$182,условия!$8:$8,"&lt;="&amp;BN$9,условия!$9:$9,"&gt;="&amp;BN$9))</f>
        <v>-657.8895604874225</v>
      </c>
      <c r="BO219" s="33">
        <f>(BO45-BO11-BO41-BO59-SUM(BO73:BO92)-BO123)*SUMIFS(условия!$182:$182,условия!$8:$8,"&lt;="&amp;BO$9,условия!$9:$9,"&gt;="&amp;BO$9)/(1+SUMIFS(условия!$182:$182,условия!$8:$8,"&lt;="&amp;BO$9,условия!$9:$9,"&gt;="&amp;BO$9))</f>
        <v>9788.7615879853256</v>
      </c>
      <c r="BP219" s="33">
        <f>(BP45-BP11-BP41-BP59-SUM(BP73:BP92)-BP123)*SUMIFS(условия!$182:$182,условия!$8:$8,"&lt;="&amp;BP$9,условия!$9:$9,"&gt;="&amp;BP$9)/(1+SUMIFS(условия!$182:$182,условия!$8:$8,"&lt;="&amp;BP$9,условия!$9:$9,"&gt;="&amp;BP$9))</f>
        <v>7092.2923098010569</v>
      </c>
      <c r="BQ219" s="33">
        <f>(BQ45-BQ11-BQ41-BQ59-SUM(BQ73:BQ92)-BQ123)*SUMIFS(условия!$182:$182,условия!$8:$8,"&lt;="&amp;BQ$9,условия!$9:$9,"&gt;="&amp;BQ$9)/(1+SUMIFS(условия!$182:$182,условия!$8:$8,"&lt;="&amp;BQ$9,условия!$9:$9,"&gt;="&amp;BQ$9))</f>
        <v>-15586.616937963925</v>
      </c>
      <c r="BR219" s="33">
        <f>(BR45-BR11-BR41-BR59-SUM(BR73:BR92)-BR123)*SUMIFS(условия!$182:$182,условия!$8:$8,"&lt;="&amp;BR$9,условия!$9:$9,"&gt;="&amp;BR$9)/(1+SUMIFS(условия!$182:$182,условия!$8:$8,"&lt;="&amp;BR$9,условия!$9:$9,"&gt;="&amp;BR$9))</f>
        <v>11197.3141348224</v>
      </c>
      <c r="BS219" s="33">
        <f>(BS45-BS11-BS41-BS59-SUM(BS73:BS92)-BS123)*SUMIFS(условия!$182:$182,условия!$8:$8,"&lt;="&amp;BS$9,условия!$9:$9,"&gt;="&amp;BS$9)/(1+SUMIFS(условия!$182:$182,условия!$8:$8,"&lt;="&amp;BS$9,условия!$9:$9,"&gt;="&amp;BS$9))</f>
        <v>-489.95995216858427</v>
      </c>
      <c r="BT219" s="33">
        <f>(BT45-BT11-BT41-BT59-SUM(BT73:BT92)-BT123)*SUMIFS(условия!$182:$182,условия!$8:$8,"&lt;="&amp;BT$9,условия!$9:$9,"&gt;="&amp;BT$9)/(1+SUMIFS(условия!$182:$182,условия!$8:$8,"&lt;="&amp;BT$9,условия!$9:$9,"&gt;="&amp;BT$9))</f>
        <v>8569.2990758760316</v>
      </c>
      <c r="BU219" s="33">
        <f>(BU45-BU11-BU41-BU59-SUM(BU73:BU92)-BU123)*SUMIFS(условия!$182:$182,условия!$8:$8,"&lt;="&amp;BU$9,условия!$9:$9,"&gt;="&amp;BU$9)/(1+SUMIFS(условия!$182:$182,условия!$8:$8,"&lt;="&amp;BU$9,условия!$9:$9,"&gt;="&amp;BU$9))</f>
        <v>-2198.1301146143205</v>
      </c>
      <c r="BV219" s="33">
        <f>(BV45-BV11-BV41-BV59-SUM(BV73:BV92)-BV123)*SUMIFS(условия!$182:$182,условия!$8:$8,"&lt;="&amp;BV$9,условия!$9:$9,"&gt;="&amp;BV$9)/(1+SUMIFS(условия!$182:$182,условия!$8:$8,"&lt;="&amp;BV$9,условия!$9:$9,"&gt;="&amp;BV$9))</f>
        <v>4476.9079869824818</v>
      </c>
      <c r="BW219" s="33">
        <f>(BW45-BW11-BW41-BW59-SUM(BW73:BW92)-BW123)*SUMIFS(условия!$182:$182,условия!$8:$8,"&lt;="&amp;BW$9,условия!$9:$9,"&gt;="&amp;BW$9)/(1+SUMIFS(условия!$182:$182,условия!$8:$8,"&lt;="&amp;BW$9,условия!$9:$9,"&gt;="&amp;BW$9))</f>
        <v>-18428.627449222764</v>
      </c>
      <c r="BX219" s="33">
        <f>(BX45-BX11-BX41-BX59-SUM(BX73:BX92)-BX123)*SUMIFS(условия!$182:$182,условия!$8:$8,"&lt;="&amp;BX$9,условия!$9:$9,"&gt;="&amp;BX$9)/(1+SUMIFS(условия!$182:$182,условия!$8:$8,"&lt;="&amp;BX$9,условия!$9:$9,"&gt;="&amp;BX$9))</f>
        <v>10012.072435404663</v>
      </c>
      <c r="BY219" s="33">
        <f>(BY45-BY11-BY41-BY59-SUM(BY73:BY92)-BY123)*SUMIFS(условия!$182:$182,условия!$8:$8,"&lt;="&amp;BY$9,условия!$9:$9,"&gt;="&amp;BY$9)/(1+SUMIFS(условия!$182:$182,условия!$8:$8,"&lt;="&amp;BY$9,условия!$9:$9,"&gt;="&amp;BY$9))</f>
        <v>-29255.489353948724</v>
      </c>
      <c r="BZ219" s="33">
        <f>(BZ45-BZ11-BZ41-BZ59-SUM(BZ73:BZ92)-BZ123)*SUMIFS(условия!$182:$182,условия!$8:$8,"&lt;="&amp;BZ$9,условия!$9:$9,"&gt;="&amp;BZ$9)/(1+SUMIFS(условия!$182:$182,условия!$8:$8,"&lt;="&amp;BZ$9,условия!$9:$9,"&gt;="&amp;BZ$9))</f>
        <v>21903.352022984862</v>
      </c>
      <c r="CA219" s="33">
        <f>(CA45-CA11-CA41-CA59-SUM(CA73:CA92)-CA123)*SUMIFS(условия!$182:$182,условия!$8:$8,"&lt;="&amp;CA$9,условия!$9:$9,"&gt;="&amp;CA$9)/(1+SUMIFS(условия!$182:$182,условия!$8:$8,"&lt;="&amp;CA$9,условия!$9:$9,"&gt;="&amp;CA$9))</f>
        <v>19638.787831634756</v>
      </c>
      <c r="CB219" s="33">
        <f>(CB45-CB11-CB41-CB59-SUM(CB73:CB92)-CB123)*SUMIFS(условия!$182:$182,условия!$8:$8,"&lt;="&amp;CB$9,условия!$9:$9,"&gt;="&amp;CB$9)/(1+SUMIFS(условия!$182:$182,условия!$8:$8,"&lt;="&amp;CB$9,условия!$9:$9,"&gt;="&amp;CB$9))</f>
        <v>11911.444761101569</v>
      </c>
      <c r="CC219" s="33">
        <f>(CC45-CC11-CC41-CC59-SUM(CC73:CC92)-CC123)*SUMIFS(условия!$182:$182,условия!$8:$8,"&lt;="&amp;CC$9,условия!$9:$9,"&gt;="&amp;CC$9)/(1+SUMIFS(условия!$182:$182,условия!$8:$8,"&lt;="&amp;CC$9,условия!$9:$9,"&gt;="&amp;CC$9))</f>
        <v>-53035.51429809838</v>
      </c>
      <c r="CD219" s="33">
        <f>(CD45-CD11-CD41-CD59-SUM(CD73:CD92)-CD123)*SUMIFS(условия!$182:$182,условия!$8:$8,"&lt;="&amp;CD$9,условия!$9:$9,"&gt;="&amp;CD$9)/(1+SUMIFS(условия!$182:$182,условия!$8:$8,"&lt;="&amp;CD$9,условия!$9:$9,"&gt;="&amp;CD$9))</f>
        <v>16282.748913312684</v>
      </c>
      <c r="CE219" s="33">
        <f>(CE45-CE11-CE41-CE59-SUM(CE73:CE92)-CE123)*SUMIFS(условия!$182:$182,условия!$8:$8,"&lt;="&amp;CE$9,условия!$9:$9,"&gt;="&amp;CE$9)/(1+SUMIFS(условия!$182:$182,условия!$8:$8,"&lt;="&amp;CE$9,условия!$9:$9,"&gt;="&amp;CE$9))</f>
        <v>15314.897104815109</v>
      </c>
      <c r="CF219" s="33">
        <f>(CF45-CF11-CF41-CF59-SUM(CF73:CF92)-CF123)*SUMIFS(условия!$182:$182,условия!$8:$8,"&lt;="&amp;CF$9,условия!$9:$9,"&gt;="&amp;CF$9)/(1+SUMIFS(условия!$182:$182,условия!$8:$8,"&lt;="&amp;CF$9,условия!$9:$9,"&gt;="&amp;CF$9))</f>
        <v>12227.983327144202</v>
      </c>
      <c r="CG219" s="33">
        <f>(CG45-CG11-CG41-CG59-SUM(CG73:CG92)-CG123)*SUMIFS(условия!$182:$182,условия!$8:$8,"&lt;="&amp;CG$9,условия!$9:$9,"&gt;="&amp;CG$9)/(1+SUMIFS(условия!$182:$182,условия!$8:$8,"&lt;="&amp;CG$9,условия!$9:$9,"&gt;="&amp;CG$9))</f>
        <v>9656.2259917393276</v>
      </c>
      <c r="CH219" s="33">
        <f>(CH45-CH11-CH41-CH59-SUM(CH73:CH92)-CH123)*SUMIFS(условия!$182:$182,условия!$8:$8,"&lt;="&amp;CH$9,условия!$9:$9,"&gt;="&amp;CH$9)/(1+SUMIFS(условия!$182:$182,условия!$8:$8,"&lt;="&amp;CH$9,условия!$9:$9,"&gt;="&amp;CH$9))</f>
        <v>9863.1476912515864</v>
      </c>
      <c r="CI219" s="33">
        <f>(CI45-CI11-CI41-CI59-SUM(CI73:CI92)-CI123)*SUMIFS(условия!$182:$182,условия!$8:$8,"&lt;="&amp;CI$9,условия!$9:$9,"&gt;="&amp;CI$9)/(1+SUMIFS(условия!$182:$182,условия!$8:$8,"&lt;="&amp;CI$9,условия!$9:$9,"&gt;="&amp;CI$9))</f>
        <v>-14854.455986632564</v>
      </c>
      <c r="CJ219" s="33">
        <f>(CJ45-CJ11-CJ41-CJ59-SUM(CJ73:CJ92)-CJ123)*SUMIFS(условия!$182:$182,условия!$8:$8,"&lt;="&amp;CJ$9,условия!$9:$9,"&gt;="&amp;CJ$9)/(1+SUMIFS(условия!$182:$182,условия!$8:$8,"&lt;="&amp;CJ$9,условия!$9:$9,"&gt;="&amp;CJ$9))</f>
        <v>-222.33689018494502</v>
      </c>
      <c r="CK219" s="33">
        <f>(CK45-CK11-CK41-CK59-SUM(CK73:CK92)-CK123)*SUMIFS(условия!$182:$182,условия!$8:$8,"&lt;="&amp;CK$9,условия!$9:$9,"&gt;="&amp;CK$9)/(1+SUMIFS(условия!$182:$182,условия!$8:$8,"&lt;="&amp;CK$9,условия!$9:$9,"&gt;="&amp;CK$9))</f>
        <v>-5947.5822099480174</v>
      </c>
      <c r="CL219" s="33">
        <f>(CL45-CL11-CL41-CL59-SUM(CL73:CL92)-CL123)*SUMIFS(условия!$182:$182,условия!$8:$8,"&lt;="&amp;CL$9,условия!$9:$9,"&gt;="&amp;CL$9)/(1+SUMIFS(условия!$182:$182,условия!$8:$8,"&lt;="&amp;CL$9,условия!$9:$9,"&gt;="&amp;CL$9))</f>
        <v>-14998.529323889483</v>
      </c>
      <c r="CM219" s="33">
        <f>(CM45-CM11-CM41-CM59-SUM(CM73:CM92)-CM123)*SUMIFS(условия!$182:$182,условия!$8:$8,"&lt;="&amp;CM$9,условия!$9:$9,"&gt;="&amp;CM$9)/(1+SUMIFS(условия!$182:$182,условия!$8:$8,"&lt;="&amp;CM$9,условия!$9:$9,"&gt;="&amp;CM$9))</f>
        <v>28126.312057920102</v>
      </c>
      <c r="CN219" s="33">
        <f>(CN45-CN11-CN41-CN59-SUM(CN73:CN92)-CN123)*SUMIFS(условия!$182:$182,условия!$8:$8,"&lt;="&amp;CN$9,условия!$9:$9,"&gt;="&amp;CN$9)/(1+SUMIFS(условия!$182:$182,условия!$8:$8,"&lt;="&amp;CN$9,условия!$9:$9,"&gt;="&amp;CN$9))</f>
        <v>15733.577317870548</v>
      </c>
      <c r="CO219" s="33">
        <f>(CO45-CO11-CO41-CO59-SUM(CO73:CO92)-CO123)*SUMIFS(условия!$182:$182,условия!$8:$8,"&lt;="&amp;CO$9,условия!$9:$9,"&gt;="&amp;CO$9)/(1+SUMIFS(условия!$182:$182,условия!$8:$8,"&lt;="&amp;CO$9,условия!$9:$9,"&gt;="&amp;CO$9))</f>
        <v>-6434.2367946699815</v>
      </c>
      <c r="CP219" s="33">
        <f>(CP45-CP11-CP41-CP59-SUM(CP73:CP92)-CP123)*SUMIFS(условия!$182:$182,условия!$8:$8,"&lt;="&amp;CP$9,условия!$9:$9,"&gt;="&amp;CP$9)/(1+SUMIFS(условия!$182:$182,условия!$8:$8,"&lt;="&amp;CP$9,условия!$9:$9,"&gt;="&amp;CP$9))</f>
        <v>21524.176528989628</v>
      </c>
      <c r="CQ219" s="33">
        <f>(CQ45-CQ11-CQ41-CQ59-SUM(CQ73:CQ92)-CQ123)*SUMIFS(условия!$182:$182,условия!$8:$8,"&lt;="&amp;CQ$9,условия!$9:$9,"&gt;="&amp;CQ$9)/(1+SUMIFS(условия!$182:$182,условия!$8:$8,"&lt;="&amp;CQ$9,условия!$9:$9,"&gt;="&amp;CQ$9))</f>
        <v>-22285.795389529609</v>
      </c>
      <c r="CR219" s="33">
        <f>(CR45-CR11-CR41-CR59-SUM(CR73:CR92)-CR123)*SUMIFS(условия!$182:$182,условия!$8:$8,"&lt;="&amp;CR$9,условия!$9:$9,"&gt;="&amp;CR$9)/(1+SUMIFS(условия!$182:$182,условия!$8:$8,"&lt;="&amp;CR$9,условия!$9:$9,"&gt;="&amp;CR$9))</f>
        <v>16377.431686728669</v>
      </c>
      <c r="CS219" s="33">
        <f>(CS45-CS11-CS41-CS59-SUM(CS73:CS92)-CS123)*SUMIFS(условия!$182:$182,условия!$8:$8,"&lt;="&amp;CS$9,условия!$9:$9,"&gt;="&amp;CS$9)/(1+SUMIFS(условия!$182:$182,условия!$8:$8,"&lt;="&amp;CS$9,условия!$9:$9,"&gt;="&amp;CS$9))</f>
        <v>12716.331635598175</v>
      </c>
      <c r="CT219" s="33">
        <f>(CT45-CT11-CT41-CT59-SUM(CT73:CT92)-CT123)*SUMIFS(условия!$182:$182,условия!$8:$8,"&lt;="&amp;CT$9,условия!$9:$9,"&gt;="&amp;CT$9)/(1+SUMIFS(условия!$182:$182,условия!$8:$8,"&lt;="&amp;CT$9,условия!$9:$9,"&gt;="&amp;CT$9))</f>
        <v>13465.527588013645</v>
      </c>
      <c r="CU219" s="33">
        <f>(CU45-CU11-CU41-CU59-SUM(CU73:CU92)-CU123)*SUMIFS(условия!$182:$182,условия!$8:$8,"&lt;="&amp;CU$9,условия!$9:$9,"&gt;="&amp;CU$9)/(1+SUMIFS(условия!$182:$182,условия!$8:$8,"&lt;="&amp;CU$9,условия!$9:$9,"&gt;="&amp;CU$9))</f>
        <v>-23838.124150543652</v>
      </c>
      <c r="CV219" s="33">
        <f>(CV45-CV11-CV41-CV59-SUM(CV73:CV92)-CV123)*SUMIFS(условия!$182:$182,условия!$8:$8,"&lt;="&amp;CV$9,условия!$9:$9,"&gt;="&amp;CV$9)/(1+SUMIFS(условия!$182:$182,условия!$8:$8,"&lt;="&amp;CV$9,условия!$9:$9,"&gt;="&amp;CV$9))</f>
        <v>24043.4698889264</v>
      </c>
      <c r="CW219" s="33">
        <f>(CW45-CW11-CW41-CW59-SUM(CW73:CW92)-CW123)*SUMIFS(условия!$182:$182,условия!$8:$8,"&lt;="&amp;CW$9,условия!$9:$9,"&gt;="&amp;CW$9)/(1+SUMIFS(условия!$182:$182,условия!$8:$8,"&lt;="&amp;CW$9,условия!$9:$9,"&gt;="&amp;CW$9))</f>
        <v>-52692.966354731987</v>
      </c>
      <c r="CX219" s="33">
        <f>(CX45-CX11-CX41-CX59-SUM(CX73:CX92)-CX123)*SUMIFS(условия!$182:$182,условия!$8:$8,"&lt;="&amp;CX$9,условия!$9:$9,"&gt;="&amp;CX$9)/(1+SUMIFS(условия!$182:$182,условия!$8:$8,"&lt;="&amp;CX$9,условия!$9:$9,"&gt;="&amp;CX$9))</f>
        <v>41246.043609289707</v>
      </c>
      <c r="CY219" s="33">
        <f>(CY45-CY11-CY41-CY59-SUM(CY73:CY92)-CY123)*SUMIFS(условия!$182:$182,условия!$8:$8,"&lt;="&amp;CY$9,условия!$9:$9,"&gt;="&amp;CY$9)/(1+SUMIFS(условия!$182:$182,условия!$8:$8,"&lt;="&amp;CY$9,условия!$9:$9,"&gt;="&amp;CY$9))</f>
        <v>37012.910992170611</v>
      </c>
      <c r="CZ219" s="33">
        <f>(CZ45-CZ11-CZ41-CZ59-SUM(CZ73:CZ92)-CZ123)*SUMIFS(условия!$182:$182,условия!$8:$8,"&lt;="&amp;CZ$9,условия!$9:$9,"&gt;="&amp;CZ$9)/(1+SUMIFS(условия!$182:$182,условия!$8:$8,"&lt;="&amp;CZ$9,условия!$9:$9,"&gt;="&amp;CZ$9))</f>
        <v>19449.581898128083</v>
      </c>
      <c r="DA219" s="33">
        <f>(DA45-DA11-DA41-DA59-SUM(DA73:DA92)-DA123)*SUMIFS(условия!$182:$182,условия!$8:$8,"&lt;="&amp;DA$9,условия!$9:$9,"&gt;="&amp;DA$9)/(1+SUMIFS(условия!$182:$182,условия!$8:$8,"&lt;="&amp;DA$9,условия!$9:$9,"&gt;="&amp;DA$9))</f>
        <v>-51786.046574757813</v>
      </c>
      <c r="DB219" s="33">
        <f>(DB45-DB11-DB41-DB59-SUM(DB73:DB92)-DB123)*SUMIFS(условия!$182:$182,условия!$8:$8,"&lt;="&amp;DB$9,условия!$9:$9,"&gt;="&amp;DB$9)/(1+SUMIFS(условия!$182:$182,условия!$8:$8,"&lt;="&amp;DB$9,условия!$9:$9,"&gt;="&amp;DB$9))</f>
        <v>26120.750151691205</v>
      </c>
      <c r="DC219" s="33">
        <f>(DC45-DC11-DC41-DC59-SUM(DC73:DC92)-DC123)*SUMIFS(условия!$182:$182,условия!$8:$8,"&lt;="&amp;DC$9,условия!$9:$9,"&gt;="&amp;DC$9)/(1+SUMIFS(условия!$182:$182,условия!$8:$8,"&lt;="&amp;DC$9,условия!$9:$9,"&gt;="&amp;DC$9))</f>
        <v>17762.368247963692</v>
      </c>
      <c r="DD219" s="33">
        <f>(DD45-DD11-DD41-DD59-SUM(DD73:DD92)-DD123)*SUMIFS(условия!$182:$182,условия!$8:$8,"&lt;="&amp;DD$9,условия!$9:$9,"&gt;="&amp;DD$9)/(1+SUMIFS(условия!$182:$182,условия!$8:$8,"&lt;="&amp;DD$9,условия!$9:$9,"&gt;="&amp;DD$9))</f>
        <v>19548.342915042642</v>
      </c>
      <c r="DE219" s="33">
        <f>(DE45-DE11-DE41-DE59-SUM(DE73:DE92)-DE123)*SUMIFS(условия!$182:$182,условия!$8:$8,"&lt;="&amp;DE$9,условия!$9:$9,"&gt;="&amp;DE$9)/(1+SUMIFS(условия!$182:$182,условия!$8:$8,"&lt;="&amp;DE$9,условия!$9:$9,"&gt;="&amp;DE$9))</f>
        <v>15534.500815537958</v>
      </c>
      <c r="DF219" s="33">
        <f>(DF45-DF11-DF41-DF59-SUM(DF73:DF92)-DF123)*SUMIFS(условия!$182:$182,условия!$8:$8,"&lt;="&amp;DF$9,условия!$9:$9,"&gt;="&amp;DF$9)/(1+SUMIFS(условия!$182:$182,условия!$8:$8,"&lt;="&amp;DF$9,условия!$9:$9,"&gt;="&amp;DF$9))</f>
        <v>2365.5828987435348</v>
      </c>
      <c r="DG219" s="33">
        <f>(DG45-DG11-DG41-DG59-SUM(DG73:DG92)-DG123)*SUMIFS(условия!$182:$182,условия!$8:$8,"&lt;="&amp;DG$9,условия!$9:$9,"&gt;="&amp;DG$9)/(1+SUMIFS(условия!$182:$182,условия!$8:$8,"&lt;="&amp;DG$9,условия!$9:$9,"&gt;="&amp;DG$9))</f>
        <v>-19473.92562323212</v>
      </c>
      <c r="DH219" s="33">
        <f>(DH45-DH11-DH41-DH59-SUM(DH73:DH92)-DH123)*SUMIFS(условия!$182:$182,условия!$8:$8,"&lt;="&amp;DH$9,условия!$9:$9,"&gt;="&amp;DH$9)/(1+SUMIFS(условия!$182:$182,условия!$8:$8,"&lt;="&amp;DH$9,условия!$9:$9,"&gt;="&amp;DH$9))</f>
        <v>-4483.1998853144996</v>
      </c>
      <c r="DI219" s="33">
        <f>(DI45-DI11-DI41-DI59-SUM(DI73:DI92)-DI123)*SUMIFS(условия!$182:$182,условия!$8:$8,"&lt;="&amp;DI$9,условия!$9:$9,"&gt;="&amp;DI$9)/(1+SUMIFS(условия!$182:$182,условия!$8:$8,"&lt;="&amp;DI$9,условия!$9:$9,"&gt;="&amp;DI$9))</f>
        <v>-4187.1346959358161</v>
      </c>
      <c r="DJ219" s="33">
        <f>(DJ45-DJ11-DJ41-DJ59-SUM(DJ73:DJ92)-DJ123)*SUMIFS(условия!$182:$182,условия!$8:$8,"&lt;="&amp;DJ$9,условия!$9:$9,"&gt;="&amp;DJ$9)/(1+SUMIFS(условия!$182:$182,условия!$8:$8,"&lt;="&amp;DJ$9,условия!$9:$9,"&gt;="&amp;DJ$9))</f>
        <v>-22006.250046719302</v>
      </c>
      <c r="DK219" s="33">
        <f>(DK45-DK11-DK41-DK59-SUM(DK73:DK92)-DK123)*SUMIFS(условия!$182:$182,условия!$8:$8,"&lt;="&amp;DK$9,условия!$9:$9,"&gt;="&amp;DK$9)/(1+SUMIFS(условия!$182:$182,условия!$8:$8,"&lt;="&amp;DK$9,условия!$9:$9,"&gt;="&amp;DK$9))</f>
        <v>43408.292346026094</v>
      </c>
      <c r="DL219" s="33">
        <f>(DL45-DL11-DL41-DL59-SUM(DL73:DL92)-DL123)*SUMIFS(условия!$182:$182,условия!$8:$8,"&lt;="&amp;DL$9,условия!$9:$9,"&gt;="&amp;DL$9)/(1+SUMIFS(условия!$182:$182,условия!$8:$8,"&lt;="&amp;DL$9,условия!$9:$9,"&gt;="&amp;DL$9))</f>
        <v>21265.69943008542</v>
      </c>
      <c r="DM219" s="33">
        <f>(DM45-DM11-DM41-DM59-SUM(DM73:DM92)-DM123)*SUMIFS(условия!$182:$182,условия!$8:$8,"&lt;="&amp;DM$9,условия!$9:$9,"&gt;="&amp;DM$9)/(1+SUMIFS(условия!$182:$182,условия!$8:$8,"&lt;="&amp;DM$9,условия!$9:$9,"&gt;="&amp;DM$9))</f>
        <v>-13277.263454676657</v>
      </c>
      <c r="DN219" s="33">
        <f>(DN45-DN11-DN41-DN59-SUM(DN73:DN92)-DN123)*SUMIFS(условия!$182:$182,условия!$8:$8,"&lt;="&amp;DN$9,условия!$9:$9,"&gt;="&amp;DN$9)/(1+SUMIFS(условия!$182:$182,условия!$8:$8,"&lt;="&amp;DN$9,условия!$9:$9,"&gt;="&amp;DN$9))</f>
        <v>28867.45447244123</v>
      </c>
      <c r="DO219" s="33">
        <f>(DO45-DO11-DO41-DO59-SUM(DO73:DO92)-DO123)*SUMIFS(условия!$182:$182,условия!$8:$8,"&lt;="&amp;DO$9,условия!$9:$9,"&gt;="&amp;DO$9)/(1+SUMIFS(условия!$182:$182,условия!$8:$8,"&lt;="&amp;DO$9,условия!$9:$9,"&gt;="&amp;DO$9))</f>
        <v>-23462.445874239296</v>
      </c>
      <c r="DP219" s="33">
        <f>(DP45-DP11-DP41-DP59-SUM(DP73:DP92)-DP123)*SUMIFS(условия!$182:$182,условия!$8:$8,"&lt;="&amp;DP$9,условия!$9:$9,"&gt;="&amp;DP$9)/(1+SUMIFS(условия!$182:$182,условия!$8:$8,"&lt;="&amp;DP$9,условия!$9:$9,"&gt;="&amp;DP$9))</f>
        <v>21931.057922497665</v>
      </c>
      <c r="DQ219" s="33">
        <f>(DQ45-DQ11-DQ41-DQ59-SUM(DQ73:DQ92)-DQ123)*SUMIFS(условия!$182:$182,условия!$8:$8,"&lt;="&amp;DQ$9,условия!$9:$9,"&gt;="&amp;DQ$9)/(1+SUMIFS(условия!$182:$182,условия!$8:$8,"&lt;="&amp;DQ$9,условия!$9:$9,"&gt;="&amp;DQ$9))</f>
        <v>16945.38042051818</v>
      </c>
      <c r="DR219" s="33">
        <f>(DR45-DR11-DR41-DR59-SUM(DR73:DR92)-DR123)*SUMIFS(условия!$182:$182,условия!$8:$8,"&lt;="&amp;DR$9,условия!$9:$9,"&gt;="&amp;DR$9)/(1+SUMIFS(условия!$182:$182,условия!$8:$8,"&lt;="&amp;DR$9,условия!$9:$9,"&gt;="&amp;DR$9))</f>
        <v>18089.925493813371</v>
      </c>
      <c r="DS219" s="33">
        <f>(DS45-DS11-DS41-DS59-SUM(DS73:DS92)-DS123)*SUMIFS(условия!$182:$182,условия!$8:$8,"&lt;="&amp;DS$9,условия!$9:$9,"&gt;="&amp;DS$9)/(1+SUMIFS(условия!$182:$182,условия!$8:$8,"&lt;="&amp;DS$9,условия!$9:$9,"&gt;="&amp;DS$9))</f>
        <v>-41014.009673620021</v>
      </c>
      <c r="DT219" s="33">
        <f>(DT45-DT11-DT41-DT59-SUM(DT73:DT92)-DT123)*SUMIFS(условия!$182:$182,условия!$8:$8,"&lt;="&amp;DT$9,условия!$9:$9,"&gt;="&amp;DT$9)/(1+SUMIFS(условия!$182:$182,условия!$8:$8,"&lt;="&amp;DT$9,условия!$9:$9,"&gt;="&amp;DT$9))</f>
        <v>32256.382778942785</v>
      </c>
      <c r="DU219" s="33">
        <f>(DU45-DU11-DU41-DU59-SUM(DU73:DU92)-DU123)*SUMIFS(условия!$182:$182,условия!$8:$8,"&lt;="&amp;DU$9,условия!$9:$9,"&gt;="&amp;DU$9)/(1+SUMIFS(условия!$182:$182,условия!$8:$8,"&lt;="&amp;DU$9,условия!$9:$9,"&gt;="&amp;DU$9))</f>
        <v>-45909.850174391577</v>
      </c>
      <c r="DV219" s="33">
        <f>(DV45-DV11-DV41-DV59-SUM(DV73:DV92)-DV123)*SUMIFS(условия!$182:$182,условия!$8:$8,"&lt;="&amp;DV$9,условия!$9:$9,"&gt;="&amp;DV$9)/(1+SUMIFS(условия!$182:$182,условия!$8:$8,"&lt;="&amp;DV$9,условия!$9:$9,"&gt;="&amp;DV$9))</f>
        <v>54682.021884169699</v>
      </c>
      <c r="DW219" s="33">
        <f>(DW45-DW11-DW41-DW59-SUM(DW73:DW92)-DW123)*SUMIFS(условия!$182:$182,условия!$8:$8,"&lt;="&amp;DW$9,условия!$9:$9,"&gt;="&amp;DW$9)/(1+SUMIFS(условия!$182:$182,условия!$8:$8,"&lt;="&amp;DW$9,условия!$9:$9,"&gt;="&amp;DW$9))</f>
        <v>15208.379448460762</v>
      </c>
      <c r="DX219" s="33">
        <f>(DX45-DX11-DX41-DX59-SUM(DX73:DX92)-DX123)*SUMIFS(условия!$182:$182,условия!$8:$8,"&lt;="&amp;DX$9,условия!$9:$9,"&gt;="&amp;DX$9)/(1+SUMIFS(условия!$182:$182,условия!$8:$8,"&lt;="&amp;DX$9,условия!$9:$9,"&gt;="&amp;DX$9))</f>
        <v>22687.304358014728</v>
      </c>
      <c r="DY219" s="33">
        <f>(DY45-DY11-DY41-DY59-SUM(DY73:DY92)-DY123)*SUMIFS(условия!$182:$182,условия!$8:$8,"&lt;="&amp;DY$9,условия!$9:$9,"&gt;="&amp;DY$9)/(1+SUMIFS(условия!$182:$182,условия!$8:$8,"&lt;="&amp;DY$9,условия!$9:$9,"&gt;="&amp;DY$9))</f>
        <v>-52753.17000668445</v>
      </c>
      <c r="DZ219" s="33">
        <f>(DZ45-DZ11-DZ41-DZ59-SUM(DZ73:DZ92)-DZ123)*SUMIFS(условия!$182:$182,условия!$8:$8,"&lt;="&amp;DZ$9,условия!$9:$9,"&gt;="&amp;DZ$9)/(1+SUMIFS(условия!$182:$182,условия!$8:$8,"&lt;="&amp;DZ$9,условия!$9:$9,"&gt;="&amp;DZ$9))</f>
        <v>30540.879417347202</v>
      </c>
      <c r="EA219" s="33">
        <f>(EA45-EA11-EA41-EA59-SUM(EA73:EA92)-EA123)*SUMIFS(условия!$182:$182,условия!$8:$8,"&lt;="&amp;EA$9,условия!$9:$9,"&gt;="&amp;EA$9)/(1+SUMIFS(условия!$182:$182,условия!$8:$8,"&lt;="&amp;EA$9,условия!$9:$9,"&gt;="&amp;EA$9))</f>
        <v>15195.017974401597</v>
      </c>
      <c r="EB219" s="33">
        <f>(EB45-EB11-EB41-EB59-SUM(EB73:EB92)-EB123)*SUMIFS(условия!$182:$182,условия!$8:$8,"&lt;="&amp;EB$9,условия!$9:$9,"&gt;="&amp;EB$9)/(1+SUMIFS(условия!$182:$182,условия!$8:$8,"&lt;="&amp;EB$9,условия!$9:$9,"&gt;="&amp;EB$9))</f>
        <v>22775.357503738993</v>
      </c>
      <c r="EC219" s="33">
        <f>(EC45-EC11-EC41-EC59-SUM(EC73:EC92)-EC123)*SUMIFS(условия!$182:$182,условия!$8:$8,"&lt;="&amp;EC$9,условия!$9:$9,"&gt;="&amp;EC$9)/(1+SUMIFS(условия!$182:$182,условия!$8:$8,"&lt;="&amp;EC$9,условия!$9:$9,"&gt;="&amp;EC$9))</f>
        <v>18186.436394484415</v>
      </c>
      <c r="ED219" s="33">
        <f>(ED45-ED11-ED41-ED59-SUM(ED73:ED92)-ED123)*SUMIFS(условия!$182:$182,условия!$8:$8,"&lt;="&amp;ED$9,условия!$9:$9,"&gt;="&amp;ED$9)/(1+SUMIFS(условия!$182:$182,условия!$8:$8,"&lt;="&amp;ED$9,условия!$9:$9,"&gt;="&amp;ED$9))</f>
        <v>8187.2103469994499</v>
      </c>
      <c r="EE219" s="33">
        <f>(EE45-EE11-EE41-EE59-SUM(EE73:EE92)-EE123)*SUMIFS(условия!$182:$182,условия!$8:$8,"&lt;="&amp;EE$9,условия!$9:$9,"&gt;="&amp;EE$9)/(1+SUMIFS(условия!$182:$182,условия!$8:$8,"&lt;="&amp;EE$9,условия!$9:$9,"&gt;="&amp;EE$9))</f>
        <v>-16867.864897752675</v>
      </c>
      <c r="EF219" s="33">
        <f>(EF45-EF11-EF41-EF59-SUM(EF73:EF92)-EF123)*SUMIFS(условия!$182:$182,условия!$8:$8,"&lt;="&amp;EF$9,условия!$9:$9,"&gt;="&amp;EF$9)/(1+SUMIFS(условия!$182:$182,условия!$8:$8,"&lt;="&amp;EF$9,условия!$9:$9,"&gt;="&amp;EF$9))</f>
        <v>-11372.130461918116</v>
      </c>
      <c r="EG219" s="33">
        <f>(EG45-EG11-EG41-EG59-SUM(EG73:EG92)-EG123)*SUMIFS(условия!$182:$182,условия!$8:$8,"&lt;="&amp;EG$9,условия!$9:$9,"&gt;="&amp;EG$9)/(1+SUMIFS(условия!$182:$182,условия!$8:$8,"&lt;="&amp;EG$9,условия!$9:$9,"&gt;="&amp;EG$9))</f>
        <v>16778.611337710401</v>
      </c>
      <c r="EH219" s="33">
        <f>(EH45-EH11-EH41-EH59-SUM(EH73:EH92)-EH123)*SUMIFS(условия!$182:$182,условия!$8:$8,"&lt;="&amp;EH$9,условия!$9:$9,"&gt;="&amp;EH$9)/(1+SUMIFS(условия!$182:$182,условия!$8:$8,"&lt;="&amp;EH$9,условия!$9:$9,"&gt;="&amp;EH$9))</f>
        <v>-47192.896362228275</v>
      </c>
      <c r="EI219" s="33">
        <f>(EI45-EI11-EI41-EI59-SUM(EI73:EI92)-EI123)*SUMIFS(условия!$182:$182,условия!$8:$8,"&lt;="&amp;EI$9,условия!$9:$9,"&gt;="&amp;EI$9)/(1+SUMIFS(условия!$182:$182,условия!$8:$8,"&lt;="&amp;EI$9,условия!$9:$9,"&gt;="&amp;EI$9))</f>
        <v>50229.163552637117</v>
      </c>
      <c r="EJ219" s="3"/>
      <c r="EK219" s="3"/>
    </row>
    <row r="220" spans="1:14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2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</row>
    <row r="221" spans="1:141" x14ac:dyDescent="0.25">
      <c r="A221" s="3"/>
      <c r="B221" s="3"/>
      <c r="C221" s="3"/>
      <c r="D221" s="3"/>
      <c r="E221" s="3"/>
      <c r="F221" s="10" t="str">
        <f>KPI!$F$246</f>
        <v>возмещение НДС</v>
      </c>
      <c r="G221" s="3"/>
      <c r="H221" s="3"/>
      <c r="I221" s="3"/>
      <c r="J221" s="5" t="str">
        <f>IF($F221="","",INDEX(KPI!$I$11:$I$275,SUMIFS(KPI!$E$11:$E$275,KPI!$F$11:$F$275,$F221)))</f>
        <v>тыс.руб.</v>
      </c>
      <c r="K221" s="3"/>
      <c r="L221" s="3"/>
      <c r="M221" s="3"/>
      <c r="N221" s="3"/>
      <c r="O221" s="3"/>
      <c r="P221" s="3"/>
      <c r="Q221" s="12">
        <f>SUM(S221:EJ221)</f>
        <v>682422.92019670748</v>
      </c>
      <c r="R221" s="3"/>
      <c r="S221" s="55"/>
      <c r="T221" s="33">
        <f>IF(S219&lt;0,-S219,0)</f>
        <v>0</v>
      </c>
      <c r="U221" s="33">
        <f t="shared" ref="U221:CF221" si="568">IF(T219&lt;0,-T219,0)</f>
        <v>1.6666666666666667</v>
      </c>
      <c r="V221" s="33">
        <f t="shared" si="568"/>
        <v>2918.3333333333335</v>
      </c>
      <c r="W221" s="33">
        <f t="shared" si="568"/>
        <v>2990.0833333333339</v>
      </c>
      <c r="X221" s="33">
        <f t="shared" si="568"/>
        <v>2990.0833333333339</v>
      </c>
      <c r="Y221" s="33">
        <f t="shared" si="568"/>
        <v>4681.7910973846701</v>
      </c>
      <c r="Z221" s="33">
        <f t="shared" si="568"/>
        <v>12.737749999999988</v>
      </c>
      <c r="AA221" s="33">
        <f t="shared" si="568"/>
        <v>13.622616451612849</v>
      </c>
      <c r="AB221" s="33">
        <f t="shared" si="568"/>
        <v>0</v>
      </c>
      <c r="AC221" s="33">
        <f t="shared" si="568"/>
        <v>0</v>
      </c>
      <c r="AD221" s="33">
        <f t="shared" si="568"/>
        <v>13.064983296566501</v>
      </c>
      <c r="AE221" s="33">
        <f t="shared" si="568"/>
        <v>592.04482877003034</v>
      </c>
      <c r="AF221" s="33">
        <f t="shared" si="568"/>
        <v>0</v>
      </c>
      <c r="AG221" s="33">
        <f t="shared" si="568"/>
        <v>2658.1924653739043</v>
      </c>
      <c r="AH221" s="33">
        <f t="shared" si="568"/>
        <v>0</v>
      </c>
      <c r="AI221" s="33">
        <f t="shared" si="568"/>
        <v>0</v>
      </c>
      <c r="AJ221" s="33">
        <f t="shared" si="568"/>
        <v>0</v>
      </c>
      <c r="AK221" s="33">
        <f t="shared" si="568"/>
        <v>0</v>
      </c>
      <c r="AL221" s="33">
        <f t="shared" si="568"/>
        <v>393.57917005905529</v>
      </c>
      <c r="AM221" s="33">
        <f t="shared" si="568"/>
        <v>0</v>
      </c>
      <c r="AN221" s="33">
        <f t="shared" si="568"/>
        <v>1310.8403189891844</v>
      </c>
      <c r="AO221" s="33">
        <f t="shared" si="568"/>
        <v>1486.0356764443736</v>
      </c>
      <c r="AP221" s="33">
        <f t="shared" si="568"/>
        <v>0</v>
      </c>
      <c r="AQ221" s="33">
        <f t="shared" si="568"/>
        <v>4403.4708341255227</v>
      </c>
      <c r="AR221" s="33">
        <f t="shared" si="568"/>
        <v>0</v>
      </c>
      <c r="AS221" s="33">
        <f t="shared" si="568"/>
        <v>1056.4803911653321</v>
      </c>
      <c r="AT221" s="33">
        <f t="shared" si="568"/>
        <v>0</v>
      </c>
      <c r="AU221" s="33">
        <f t="shared" si="568"/>
        <v>2926.2953772262808</v>
      </c>
      <c r="AV221" s="33">
        <f t="shared" si="568"/>
        <v>0</v>
      </c>
      <c r="AW221" s="33">
        <f t="shared" si="568"/>
        <v>0</v>
      </c>
      <c r="AX221" s="33">
        <f t="shared" si="568"/>
        <v>0</v>
      </c>
      <c r="AY221" s="33">
        <f t="shared" si="568"/>
        <v>333.97421970910818</v>
      </c>
      <c r="AZ221" s="33">
        <f t="shared" si="568"/>
        <v>2947.2835532590316</v>
      </c>
      <c r="BA221" s="33">
        <f t="shared" si="568"/>
        <v>2385.1011687082923</v>
      </c>
      <c r="BB221" s="33">
        <f t="shared" si="568"/>
        <v>0</v>
      </c>
      <c r="BC221" s="33">
        <f t="shared" si="568"/>
        <v>9577.0103494776849</v>
      </c>
      <c r="BD221" s="33">
        <f t="shared" si="568"/>
        <v>0</v>
      </c>
      <c r="BE221" s="33">
        <f t="shared" si="568"/>
        <v>0</v>
      </c>
      <c r="BF221" s="33">
        <f t="shared" si="568"/>
        <v>0</v>
      </c>
      <c r="BG221" s="33">
        <f t="shared" si="568"/>
        <v>6133.1824191847973</v>
      </c>
      <c r="BH221" s="33">
        <f t="shared" si="568"/>
        <v>0</v>
      </c>
      <c r="BI221" s="33">
        <f t="shared" si="568"/>
        <v>0</v>
      </c>
      <c r="BJ221" s="33">
        <f t="shared" si="568"/>
        <v>294.42682068914365</v>
      </c>
      <c r="BK221" s="33">
        <f t="shared" si="568"/>
        <v>0</v>
      </c>
      <c r="BL221" s="33">
        <f t="shared" si="568"/>
        <v>9537.3488203320157</v>
      </c>
      <c r="BM221" s="33">
        <f t="shared" si="568"/>
        <v>0</v>
      </c>
      <c r="BN221" s="33">
        <f t="shared" si="568"/>
        <v>8053.8281712891712</v>
      </c>
      <c r="BO221" s="33">
        <f t="shared" si="568"/>
        <v>657.8895604874225</v>
      </c>
      <c r="BP221" s="33">
        <f t="shared" si="568"/>
        <v>0</v>
      </c>
      <c r="BQ221" s="33">
        <f t="shared" si="568"/>
        <v>0</v>
      </c>
      <c r="BR221" s="33">
        <f t="shared" si="568"/>
        <v>15586.616937963925</v>
      </c>
      <c r="BS221" s="33">
        <f t="shared" si="568"/>
        <v>0</v>
      </c>
      <c r="BT221" s="33">
        <f t="shared" si="568"/>
        <v>489.95995216858427</v>
      </c>
      <c r="BU221" s="33">
        <f t="shared" si="568"/>
        <v>0</v>
      </c>
      <c r="BV221" s="33">
        <f t="shared" si="568"/>
        <v>2198.1301146143205</v>
      </c>
      <c r="BW221" s="33">
        <f t="shared" si="568"/>
        <v>0</v>
      </c>
      <c r="BX221" s="33">
        <f t="shared" si="568"/>
        <v>18428.627449222764</v>
      </c>
      <c r="BY221" s="33">
        <f t="shared" si="568"/>
        <v>0</v>
      </c>
      <c r="BZ221" s="33">
        <f t="shared" si="568"/>
        <v>29255.489353948724</v>
      </c>
      <c r="CA221" s="33">
        <f t="shared" si="568"/>
        <v>0</v>
      </c>
      <c r="CB221" s="33">
        <f t="shared" si="568"/>
        <v>0</v>
      </c>
      <c r="CC221" s="33">
        <f t="shared" si="568"/>
        <v>0</v>
      </c>
      <c r="CD221" s="33">
        <f t="shared" si="568"/>
        <v>53035.51429809838</v>
      </c>
      <c r="CE221" s="33">
        <f t="shared" si="568"/>
        <v>0</v>
      </c>
      <c r="CF221" s="33">
        <f t="shared" si="568"/>
        <v>0</v>
      </c>
      <c r="CG221" s="33">
        <f t="shared" ref="CG221:EI221" si="569">IF(CF219&lt;0,-CF219,0)</f>
        <v>0</v>
      </c>
      <c r="CH221" s="33">
        <f t="shared" si="569"/>
        <v>0</v>
      </c>
      <c r="CI221" s="33">
        <f t="shared" si="569"/>
        <v>0</v>
      </c>
      <c r="CJ221" s="33">
        <f t="shared" si="569"/>
        <v>14854.455986632564</v>
      </c>
      <c r="CK221" s="33">
        <f t="shared" si="569"/>
        <v>222.33689018494502</v>
      </c>
      <c r="CL221" s="33">
        <f t="shared" si="569"/>
        <v>5947.5822099480174</v>
      </c>
      <c r="CM221" s="33">
        <f t="shared" si="569"/>
        <v>14998.529323889483</v>
      </c>
      <c r="CN221" s="33">
        <f t="shared" si="569"/>
        <v>0</v>
      </c>
      <c r="CO221" s="33">
        <f t="shared" si="569"/>
        <v>0</v>
      </c>
      <c r="CP221" s="33">
        <f t="shared" si="569"/>
        <v>6434.2367946699815</v>
      </c>
      <c r="CQ221" s="33">
        <f t="shared" si="569"/>
        <v>0</v>
      </c>
      <c r="CR221" s="33">
        <f t="shared" si="569"/>
        <v>22285.795389529609</v>
      </c>
      <c r="CS221" s="33">
        <f t="shared" si="569"/>
        <v>0</v>
      </c>
      <c r="CT221" s="33">
        <f t="shared" si="569"/>
        <v>0</v>
      </c>
      <c r="CU221" s="33">
        <f t="shared" si="569"/>
        <v>0</v>
      </c>
      <c r="CV221" s="33">
        <f t="shared" si="569"/>
        <v>23838.124150543652</v>
      </c>
      <c r="CW221" s="33">
        <f t="shared" si="569"/>
        <v>0</v>
      </c>
      <c r="CX221" s="33">
        <f t="shared" si="569"/>
        <v>52692.966354731987</v>
      </c>
      <c r="CY221" s="33">
        <f t="shared" si="569"/>
        <v>0</v>
      </c>
      <c r="CZ221" s="33">
        <f t="shared" si="569"/>
        <v>0</v>
      </c>
      <c r="DA221" s="33">
        <f t="shared" si="569"/>
        <v>0</v>
      </c>
      <c r="DB221" s="33">
        <f t="shared" si="569"/>
        <v>51786.046574757813</v>
      </c>
      <c r="DC221" s="33">
        <f t="shared" si="569"/>
        <v>0</v>
      </c>
      <c r="DD221" s="33">
        <f t="shared" si="569"/>
        <v>0</v>
      </c>
      <c r="DE221" s="33">
        <f t="shared" si="569"/>
        <v>0</v>
      </c>
      <c r="DF221" s="33">
        <f t="shared" si="569"/>
        <v>0</v>
      </c>
      <c r="DG221" s="33">
        <f t="shared" si="569"/>
        <v>0</v>
      </c>
      <c r="DH221" s="33">
        <f t="shared" si="569"/>
        <v>19473.92562323212</v>
      </c>
      <c r="DI221" s="33">
        <f t="shared" si="569"/>
        <v>4483.1998853144996</v>
      </c>
      <c r="DJ221" s="33">
        <f t="shared" si="569"/>
        <v>4187.1346959358161</v>
      </c>
      <c r="DK221" s="33">
        <f t="shared" si="569"/>
        <v>22006.250046719302</v>
      </c>
      <c r="DL221" s="33">
        <f t="shared" si="569"/>
        <v>0</v>
      </c>
      <c r="DM221" s="33">
        <f t="shared" si="569"/>
        <v>0</v>
      </c>
      <c r="DN221" s="33">
        <f t="shared" si="569"/>
        <v>13277.263454676657</v>
      </c>
      <c r="DO221" s="33">
        <f t="shared" si="569"/>
        <v>0</v>
      </c>
      <c r="DP221" s="33">
        <f t="shared" si="569"/>
        <v>23462.445874239296</v>
      </c>
      <c r="DQ221" s="33">
        <f t="shared" si="569"/>
        <v>0</v>
      </c>
      <c r="DR221" s="33">
        <f t="shared" si="569"/>
        <v>0</v>
      </c>
      <c r="DS221" s="33">
        <f t="shared" si="569"/>
        <v>0</v>
      </c>
      <c r="DT221" s="33">
        <f t="shared" si="569"/>
        <v>41014.009673620021</v>
      </c>
      <c r="DU221" s="33">
        <f t="shared" si="569"/>
        <v>0</v>
      </c>
      <c r="DV221" s="33">
        <f t="shared" si="569"/>
        <v>45909.850174391577</v>
      </c>
      <c r="DW221" s="33">
        <f t="shared" si="569"/>
        <v>0</v>
      </c>
      <c r="DX221" s="33">
        <f t="shared" si="569"/>
        <v>0</v>
      </c>
      <c r="DY221" s="33">
        <f t="shared" si="569"/>
        <v>0</v>
      </c>
      <c r="DZ221" s="33">
        <f t="shared" si="569"/>
        <v>52753.17000668445</v>
      </c>
      <c r="EA221" s="33">
        <f t="shared" si="569"/>
        <v>0</v>
      </c>
      <c r="EB221" s="33">
        <f t="shared" si="569"/>
        <v>0</v>
      </c>
      <c r="EC221" s="33">
        <f t="shared" si="569"/>
        <v>0</v>
      </c>
      <c r="ED221" s="33">
        <f t="shared" si="569"/>
        <v>0</v>
      </c>
      <c r="EE221" s="33">
        <f t="shared" si="569"/>
        <v>0</v>
      </c>
      <c r="EF221" s="33">
        <f t="shared" si="569"/>
        <v>16867.864897752675</v>
      </c>
      <c r="EG221" s="33">
        <f t="shared" si="569"/>
        <v>11372.130461918116</v>
      </c>
      <c r="EH221" s="33">
        <f t="shared" si="569"/>
        <v>0</v>
      </c>
      <c r="EI221" s="33">
        <f t="shared" si="569"/>
        <v>47192.896362228275</v>
      </c>
      <c r="EJ221" s="3"/>
      <c r="EK221" s="3"/>
    </row>
    <row r="222" spans="1:14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2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</row>
    <row r="223" spans="1:141" x14ac:dyDescent="0.25">
      <c r="A223" s="3"/>
      <c r="B223" s="3"/>
      <c r="C223" s="3"/>
      <c r="D223" s="3"/>
      <c r="E223" s="3"/>
      <c r="F223" s="10" t="str">
        <f>KPI!$F$247</f>
        <v>оплата НДС</v>
      </c>
      <c r="G223" s="3"/>
      <c r="H223" s="3"/>
      <c r="I223" s="3"/>
      <c r="J223" s="5" t="str">
        <f>IF($F223="","",INDEX(KPI!$I$11:$I$275,SUMIFS(KPI!$E$11:$E$275,KPI!$F$11:$F$275,$F223)))</f>
        <v>тыс.руб.</v>
      </c>
      <c r="K223" s="3"/>
      <c r="L223" s="3"/>
      <c r="M223" s="3"/>
      <c r="N223" s="3"/>
      <c r="O223" s="3"/>
      <c r="P223" s="3"/>
      <c r="Q223" s="12">
        <f>SUM(S223:EJ223)</f>
        <v>911181.5933019378</v>
      </c>
      <c r="R223" s="3"/>
      <c r="S223" s="55"/>
      <c r="T223" s="33">
        <f>IF(S219&gt;0,S219,0)</f>
        <v>0</v>
      </c>
      <c r="U223" s="33">
        <f t="shared" ref="U223:CF223" si="570">IF(T219&gt;0,T219,0)</f>
        <v>0</v>
      </c>
      <c r="V223" s="33">
        <f t="shared" si="570"/>
        <v>0</v>
      </c>
      <c r="W223" s="33">
        <f t="shared" si="570"/>
        <v>0</v>
      </c>
      <c r="X223" s="33">
        <f t="shared" si="570"/>
        <v>0</v>
      </c>
      <c r="Y223" s="33">
        <f t="shared" si="570"/>
        <v>0</v>
      </c>
      <c r="Z223" s="33">
        <f t="shared" si="570"/>
        <v>0</v>
      </c>
      <c r="AA223" s="33">
        <f t="shared" si="570"/>
        <v>0</v>
      </c>
      <c r="AB223" s="33">
        <f t="shared" si="570"/>
        <v>3.4200345806451846</v>
      </c>
      <c r="AC223" s="33">
        <f t="shared" si="570"/>
        <v>92.341176258064536</v>
      </c>
      <c r="AD223" s="33">
        <f t="shared" si="570"/>
        <v>0</v>
      </c>
      <c r="AE223" s="33">
        <f t="shared" si="570"/>
        <v>0</v>
      </c>
      <c r="AF223" s="33">
        <f t="shared" si="570"/>
        <v>236.91389677419352</v>
      </c>
      <c r="AG223" s="33">
        <f t="shared" si="570"/>
        <v>0</v>
      </c>
      <c r="AH223" s="33">
        <f t="shared" si="570"/>
        <v>629.10068053677423</v>
      </c>
      <c r="AI223" s="33">
        <f t="shared" si="570"/>
        <v>716.17559747096766</v>
      </c>
      <c r="AJ223" s="33">
        <f t="shared" si="570"/>
        <v>746.0946571065806</v>
      </c>
      <c r="AK223" s="33">
        <f t="shared" si="570"/>
        <v>382.11948056840947</v>
      </c>
      <c r="AL223" s="33">
        <f t="shared" si="570"/>
        <v>0</v>
      </c>
      <c r="AM223" s="33">
        <f t="shared" si="570"/>
        <v>61.945163191540914</v>
      </c>
      <c r="AN223" s="33">
        <f t="shared" si="570"/>
        <v>0</v>
      </c>
      <c r="AO223" s="33">
        <f t="shared" si="570"/>
        <v>0</v>
      </c>
      <c r="AP223" s="33">
        <f t="shared" si="570"/>
        <v>1213.1906254603493</v>
      </c>
      <c r="AQ223" s="33">
        <f t="shared" si="570"/>
        <v>0</v>
      </c>
      <c r="AR223" s="33">
        <f t="shared" si="570"/>
        <v>1472.5543753290315</v>
      </c>
      <c r="AS223" s="33">
        <f t="shared" si="570"/>
        <v>0</v>
      </c>
      <c r="AT223" s="33">
        <f t="shared" si="570"/>
        <v>2170.2394285515707</v>
      </c>
      <c r="AU223" s="33">
        <f t="shared" si="570"/>
        <v>0</v>
      </c>
      <c r="AV223" s="33">
        <f t="shared" si="570"/>
        <v>2515.0969219105036</v>
      </c>
      <c r="AW223" s="33">
        <f t="shared" si="570"/>
        <v>1838.4170850188386</v>
      </c>
      <c r="AX223" s="33">
        <f t="shared" si="570"/>
        <v>1483.1767897990883</v>
      </c>
      <c r="AY223" s="33">
        <f t="shared" si="570"/>
        <v>0</v>
      </c>
      <c r="AZ223" s="33">
        <f t="shared" si="570"/>
        <v>0</v>
      </c>
      <c r="BA223" s="33">
        <f t="shared" si="570"/>
        <v>0</v>
      </c>
      <c r="BB223" s="33">
        <f t="shared" si="570"/>
        <v>1989.7438045469714</v>
      </c>
      <c r="BC223" s="33">
        <f t="shared" si="570"/>
        <v>0</v>
      </c>
      <c r="BD223" s="33">
        <f t="shared" si="570"/>
        <v>4606.05857999828</v>
      </c>
      <c r="BE223" s="33">
        <f t="shared" si="570"/>
        <v>3833.2913403749862</v>
      </c>
      <c r="BF223" s="33">
        <f t="shared" si="570"/>
        <v>4670.1289817566649</v>
      </c>
      <c r="BG223" s="33">
        <f t="shared" si="570"/>
        <v>0</v>
      </c>
      <c r="BH223" s="33">
        <f t="shared" si="570"/>
        <v>5408.0377621778034</v>
      </c>
      <c r="BI223" s="33">
        <f t="shared" si="570"/>
        <v>4063.5796339734948</v>
      </c>
      <c r="BJ223" s="33">
        <f t="shared" si="570"/>
        <v>0</v>
      </c>
      <c r="BK223" s="33">
        <f t="shared" si="570"/>
        <v>3348.1944480216507</v>
      </c>
      <c r="BL223" s="33">
        <f t="shared" si="570"/>
        <v>0</v>
      </c>
      <c r="BM223" s="33">
        <f t="shared" si="570"/>
        <v>3734.2179014089561</v>
      </c>
      <c r="BN223" s="33">
        <f t="shared" si="570"/>
        <v>0</v>
      </c>
      <c r="BO223" s="33">
        <f t="shared" si="570"/>
        <v>0</v>
      </c>
      <c r="BP223" s="33">
        <f t="shared" si="570"/>
        <v>9788.7615879853256</v>
      </c>
      <c r="BQ223" s="33">
        <f t="shared" si="570"/>
        <v>7092.2923098010569</v>
      </c>
      <c r="BR223" s="33">
        <f t="shared" si="570"/>
        <v>0</v>
      </c>
      <c r="BS223" s="33">
        <f t="shared" si="570"/>
        <v>11197.3141348224</v>
      </c>
      <c r="BT223" s="33">
        <f t="shared" si="570"/>
        <v>0</v>
      </c>
      <c r="BU223" s="33">
        <f t="shared" si="570"/>
        <v>8569.2990758760316</v>
      </c>
      <c r="BV223" s="33">
        <f t="shared" si="570"/>
        <v>0</v>
      </c>
      <c r="BW223" s="33">
        <f t="shared" si="570"/>
        <v>4476.9079869824818</v>
      </c>
      <c r="BX223" s="33">
        <f t="shared" si="570"/>
        <v>0</v>
      </c>
      <c r="BY223" s="33">
        <f t="shared" si="570"/>
        <v>10012.072435404663</v>
      </c>
      <c r="BZ223" s="33">
        <f t="shared" si="570"/>
        <v>0</v>
      </c>
      <c r="CA223" s="33">
        <f t="shared" si="570"/>
        <v>21903.352022984862</v>
      </c>
      <c r="CB223" s="33">
        <f t="shared" si="570"/>
        <v>19638.787831634756</v>
      </c>
      <c r="CC223" s="33">
        <f t="shared" si="570"/>
        <v>11911.444761101569</v>
      </c>
      <c r="CD223" s="33">
        <f t="shared" si="570"/>
        <v>0</v>
      </c>
      <c r="CE223" s="33">
        <f t="shared" si="570"/>
        <v>16282.748913312684</v>
      </c>
      <c r="CF223" s="33">
        <f t="shared" si="570"/>
        <v>15314.897104815109</v>
      </c>
      <c r="CG223" s="33">
        <f t="shared" ref="CG223:EI223" si="571">IF(CF219&gt;0,CF219,0)</f>
        <v>12227.983327144202</v>
      </c>
      <c r="CH223" s="33">
        <f t="shared" si="571"/>
        <v>9656.2259917393276</v>
      </c>
      <c r="CI223" s="33">
        <f t="shared" si="571"/>
        <v>9863.1476912515864</v>
      </c>
      <c r="CJ223" s="33">
        <f t="shared" si="571"/>
        <v>0</v>
      </c>
      <c r="CK223" s="33">
        <f t="shared" si="571"/>
        <v>0</v>
      </c>
      <c r="CL223" s="33">
        <f t="shared" si="571"/>
        <v>0</v>
      </c>
      <c r="CM223" s="33">
        <f t="shared" si="571"/>
        <v>0</v>
      </c>
      <c r="CN223" s="33">
        <f t="shared" si="571"/>
        <v>28126.312057920102</v>
      </c>
      <c r="CO223" s="33">
        <f t="shared" si="571"/>
        <v>15733.577317870548</v>
      </c>
      <c r="CP223" s="33">
        <f t="shared" si="571"/>
        <v>0</v>
      </c>
      <c r="CQ223" s="33">
        <f t="shared" si="571"/>
        <v>21524.176528989628</v>
      </c>
      <c r="CR223" s="33">
        <f t="shared" si="571"/>
        <v>0</v>
      </c>
      <c r="CS223" s="33">
        <f t="shared" si="571"/>
        <v>16377.431686728669</v>
      </c>
      <c r="CT223" s="33">
        <f t="shared" si="571"/>
        <v>12716.331635598175</v>
      </c>
      <c r="CU223" s="33">
        <f t="shared" si="571"/>
        <v>13465.527588013645</v>
      </c>
      <c r="CV223" s="33">
        <f t="shared" si="571"/>
        <v>0</v>
      </c>
      <c r="CW223" s="33">
        <f t="shared" si="571"/>
        <v>24043.4698889264</v>
      </c>
      <c r="CX223" s="33">
        <f t="shared" si="571"/>
        <v>0</v>
      </c>
      <c r="CY223" s="33">
        <f t="shared" si="571"/>
        <v>41246.043609289707</v>
      </c>
      <c r="CZ223" s="33">
        <f t="shared" si="571"/>
        <v>37012.910992170611</v>
      </c>
      <c r="DA223" s="33">
        <f t="shared" si="571"/>
        <v>19449.581898128083</v>
      </c>
      <c r="DB223" s="33">
        <f t="shared" si="571"/>
        <v>0</v>
      </c>
      <c r="DC223" s="33">
        <f t="shared" si="571"/>
        <v>26120.750151691205</v>
      </c>
      <c r="DD223" s="33">
        <f t="shared" si="571"/>
        <v>17762.368247963692</v>
      </c>
      <c r="DE223" s="33">
        <f t="shared" si="571"/>
        <v>19548.342915042642</v>
      </c>
      <c r="DF223" s="33">
        <f t="shared" si="571"/>
        <v>15534.500815537958</v>
      </c>
      <c r="DG223" s="33">
        <f t="shared" si="571"/>
        <v>2365.5828987435348</v>
      </c>
      <c r="DH223" s="33">
        <f t="shared" si="571"/>
        <v>0</v>
      </c>
      <c r="DI223" s="33">
        <f t="shared" si="571"/>
        <v>0</v>
      </c>
      <c r="DJ223" s="33">
        <f t="shared" si="571"/>
        <v>0</v>
      </c>
      <c r="DK223" s="33">
        <f t="shared" si="571"/>
        <v>0</v>
      </c>
      <c r="DL223" s="33">
        <f t="shared" si="571"/>
        <v>43408.292346026094</v>
      </c>
      <c r="DM223" s="33">
        <f t="shared" si="571"/>
        <v>21265.69943008542</v>
      </c>
      <c r="DN223" s="33">
        <f t="shared" si="571"/>
        <v>0</v>
      </c>
      <c r="DO223" s="33">
        <f t="shared" si="571"/>
        <v>28867.45447244123</v>
      </c>
      <c r="DP223" s="33">
        <f t="shared" si="571"/>
        <v>0</v>
      </c>
      <c r="DQ223" s="33">
        <f t="shared" si="571"/>
        <v>21931.057922497665</v>
      </c>
      <c r="DR223" s="33">
        <f t="shared" si="571"/>
        <v>16945.38042051818</v>
      </c>
      <c r="DS223" s="33">
        <f t="shared" si="571"/>
        <v>18089.925493813371</v>
      </c>
      <c r="DT223" s="33">
        <f t="shared" si="571"/>
        <v>0</v>
      </c>
      <c r="DU223" s="33">
        <f t="shared" si="571"/>
        <v>32256.382778942785</v>
      </c>
      <c r="DV223" s="33">
        <f t="shared" si="571"/>
        <v>0</v>
      </c>
      <c r="DW223" s="33">
        <f t="shared" si="571"/>
        <v>54682.021884169699</v>
      </c>
      <c r="DX223" s="33">
        <f t="shared" si="571"/>
        <v>15208.379448460762</v>
      </c>
      <c r="DY223" s="33">
        <f t="shared" si="571"/>
        <v>22687.304358014728</v>
      </c>
      <c r="DZ223" s="33">
        <f t="shared" si="571"/>
        <v>0</v>
      </c>
      <c r="EA223" s="33">
        <f t="shared" si="571"/>
        <v>30540.879417347202</v>
      </c>
      <c r="EB223" s="33">
        <f t="shared" si="571"/>
        <v>15195.017974401597</v>
      </c>
      <c r="EC223" s="33">
        <f t="shared" si="571"/>
        <v>22775.357503738993</v>
      </c>
      <c r="ED223" s="33">
        <f t="shared" si="571"/>
        <v>18186.436394484415</v>
      </c>
      <c r="EE223" s="33">
        <f t="shared" si="571"/>
        <v>8187.2103469994499</v>
      </c>
      <c r="EF223" s="33">
        <f t="shared" si="571"/>
        <v>0</v>
      </c>
      <c r="EG223" s="33">
        <f t="shared" si="571"/>
        <v>0</v>
      </c>
      <c r="EH223" s="33">
        <f t="shared" si="571"/>
        <v>16778.611337710401</v>
      </c>
      <c r="EI223" s="33">
        <f t="shared" si="571"/>
        <v>0</v>
      </c>
      <c r="EJ223" s="3"/>
      <c r="EK223" s="3"/>
    </row>
    <row r="224" spans="1:14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2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</row>
    <row r="225" spans="1:14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2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</row>
    <row r="226" spans="1:14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2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</row>
    <row r="227" spans="1:14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2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</row>
    <row r="228" spans="1:14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2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</row>
    <row r="229" spans="1:14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2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</row>
    <row r="230" spans="1:14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2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</row>
    <row r="231" spans="1:14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</row>
    <row r="232" spans="1:14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2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</row>
    <row r="233" spans="1:14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2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</row>
    <row r="234" spans="1:14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2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</row>
    <row r="235" spans="1:14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2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</row>
    <row r="236" spans="1:14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2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</row>
    <row r="237" spans="1:14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2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</row>
    <row r="238" spans="1:14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2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</row>
    <row r="239" spans="1:14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2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</row>
    <row r="240" spans="1:14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2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</row>
    <row r="241" spans="1:14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2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</row>
    <row r="242" spans="1:14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2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</row>
    <row r="243" spans="1:14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2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</row>
    <row r="244" spans="1:14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2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</row>
    <row r="245" spans="1:14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2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</row>
    <row r="246" spans="1:14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2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</row>
    <row r="247" spans="1:14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2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</row>
    <row r="248" spans="1:14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2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</row>
    <row r="249" spans="1:14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2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</row>
    <row r="250" spans="1:14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2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</row>
    <row r="251" spans="1:14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2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</row>
    <row r="252" spans="1:14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2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</row>
    <row r="253" spans="1:14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2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</row>
    <row r="254" spans="1:14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2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</row>
    <row r="255" spans="1:14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2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</row>
  </sheetData>
  <conditionalFormatting sqref="T9:AC9">
    <cfRule type="containsBlanks" dxfId="16" priority="34">
      <formula>LEN(TRIM(T9))=0</formula>
    </cfRule>
  </conditionalFormatting>
  <conditionalFormatting sqref="AD9:AL9">
    <cfRule type="containsBlanks" dxfId="15" priority="30">
      <formula>LEN(TRIM(AD9))=0</formula>
    </cfRule>
  </conditionalFormatting>
  <conditionalFormatting sqref="AM9:AR9">
    <cfRule type="containsBlanks" dxfId="14" priority="29">
      <formula>LEN(TRIM(AM9))=0</formula>
    </cfRule>
  </conditionalFormatting>
  <conditionalFormatting sqref="AS9:BA9">
    <cfRule type="containsBlanks" dxfId="13" priority="28">
      <formula>LEN(TRIM(AS9))=0</formula>
    </cfRule>
  </conditionalFormatting>
  <conditionalFormatting sqref="BB9:BG9">
    <cfRule type="containsBlanks" dxfId="12" priority="27">
      <formula>LEN(TRIM(BB9))=0</formula>
    </cfRule>
  </conditionalFormatting>
  <conditionalFormatting sqref="BH9:BP9">
    <cfRule type="containsBlanks" dxfId="11" priority="26">
      <formula>LEN(TRIM(BH9))=0</formula>
    </cfRule>
  </conditionalFormatting>
  <conditionalFormatting sqref="BQ9:BV9">
    <cfRule type="containsBlanks" dxfId="10" priority="25">
      <formula>LEN(TRIM(BQ9))=0</formula>
    </cfRule>
  </conditionalFormatting>
  <conditionalFormatting sqref="BW9:CE9">
    <cfRule type="containsBlanks" dxfId="9" priority="24">
      <formula>LEN(TRIM(BW9))=0</formula>
    </cfRule>
  </conditionalFormatting>
  <conditionalFormatting sqref="CF9:CJ9">
    <cfRule type="containsBlanks" dxfId="8" priority="23">
      <formula>LEN(TRIM(CF9))=0</formula>
    </cfRule>
  </conditionalFormatting>
  <conditionalFormatting sqref="CK9:CS9">
    <cfRule type="containsBlanks" dxfId="7" priority="22">
      <formula>LEN(TRIM(CK9))=0</formula>
    </cfRule>
  </conditionalFormatting>
  <conditionalFormatting sqref="CT9:CY9">
    <cfRule type="containsBlanks" dxfId="6" priority="21">
      <formula>LEN(TRIM(CT9))=0</formula>
    </cfRule>
  </conditionalFormatting>
  <conditionalFormatting sqref="CZ9:DH9">
    <cfRule type="containsBlanks" dxfId="5" priority="20">
      <formula>LEN(TRIM(CZ9))=0</formula>
    </cfRule>
  </conditionalFormatting>
  <conditionalFormatting sqref="DI9:DN9">
    <cfRule type="containsBlanks" dxfId="4" priority="19">
      <formula>LEN(TRIM(DI9))=0</formula>
    </cfRule>
  </conditionalFormatting>
  <conditionalFormatting sqref="DO9:DW9">
    <cfRule type="containsBlanks" dxfId="3" priority="18">
      <formula>LEN(TRIM(DO9))=0</formula>
    </cfRule>
  </conditionalFormatting>
  <conditionalFormatting sqref="DX9:EB9">
    <cfRule type="containsBlanks" dxfId="2" priority="17">
      <formula>LEN(TRIM(DX9))=0</formula>
    </cfRule>
  </conditionalFormatting>
  <conditionalFormatting sqref="EC9:EI9">
    <cfRule type="containsBlanks" dxfId="1" priority="16">
      <formula>LEN(TRIM(EC9))=0</formula>
    </cfRule>
  </conditionalFormatting>
  <conditionalFormatting sqref="D7:H7">
    <cfRule type="cellIs" dxfId="0" priority="1" operator="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68"/>
  <sheetViews>
    <sheetView showGridLines="0" workbookViewId="0">
      <pane ySplit="10" topLeftCell="A11" activePane="bottomLeft" state="frozen"/>
      <selection pane="bottomLeft"/>
    </sheetView>
  </sheetViews>
  <sheetFormatPr defaultColWidth="9.109375" defaultRowHeight="13.8" x14ac:dyDescent="0.25"/>
  <cols>
    <col min="1" max="5" width="1.6640625" style="2" customWidth="1"/>
    <col min="6" max="6" width="46.5546875" style="2" customWidth="1"/>
    <col min="7" max="7" width="2.6640625" style="2" customWidth="1"/>
    <col min="8" max="8" width="11.33203125" style="197" customWidth="1"/>
    <col min="9" max="9" width="2.6640625" style="2" customWidth="1"/>
    <col min="10" max="10" width="54.6640625" style="2" bestFit="1" customWidth="1"/>
    <col min="11" max="12" width="2.6640625" style="2" customWidth="1"/>
    <col min="13" max="16384" width="9.109375" style="2"/>
  </cols>
  <sheetData>
    <row r="1" spans="1:12" ht="4.95" customHeight="1" x14ac:dyDescent="0.25">
      <c r="A1" s="3"/>
      <c r="B1" s="3"/>
      <c r="C1" s="3"/>
      <c r="D1" s="3"/>
      <c r="E1" s="3"/>
      <c r="F1" s="3"/>
      <c r="G1" s="3"/>
      <c r="H1" s="194"/>
      <c r="I1" s="194"/>
      <c r="J1" s="194"/>
      <c r="K1" s="3"/>
      <c r="L1" s="3"/>
    </row>
    <row r="2" spans="1:12" ht="4.95" customHeight="1" x14ac:dyDescent="0.25">
      <c r="A2" s="3"/>
      <c r="B2" s="3"/>
      <c r="C2" s="3"/>
      <c r="D2" s="3"/>
      <c r="E2" s="3"/>
      <c r="F2" s="3"/>
      <c r="G2" s="3"/>
      <c r="H2" s="194"/>
      <c r="I2" s="194"/>
      <c r="J2" s="194"/>
      <c r="K2" s="3"/>
      <c r="L2" s="3"/>
    </row>
    <row r="3" spans="1:12" x14ac:dyDescent="0.25">
      <c r="A3" s="3"/>
      <c r="B3" s="3"/>
      <c r="C3" s="3"/>
      <c r="D3" s="187" t="s">
        <v>0</v>
      </c>
      <c r="E3" s="3"/>
      <c r="F3" s="3"/>
      <c r="G3" s="3"/>
      <c r="H3" s="194"/>
      <c r="I3" s="194"/>
      <c r="J3" s="194"/>
      <c r="K3" s="3"/>
      <c r="L3" s="3"/>
    </row>
    <row r="4" spans="1:12" x14ac:dyDescent="0.25">
      <c r="A4" s="3"/>
      <c r="B4" s="3"/>
      <c r="C4" s="3"/>
      <c r="D4" s="187" t="s">
        <v>1</v>
      </c>
      <c r="E4" s="3"/>
      <c r="F4" s="3"/>
      <c r="G4" s="3"/>
      <c r="H4" s="194"/>
      <c r="I4" s="194"/>
      <c r="J4" s="194"/>
      <c r="K4" s="3"/>
      <c r="L4" s="3"/>
    </row>
    <row r="5" spans="1:12" x14ac:dyDescent="0.25">
      <c r="A5" s="3"/>
      <c r="B5" s="3"/>
      <c r="C5" s="3"/>
      <c r="D5" s="187" t="s">
        <v>20</v>
      </c>
      <c r="E5" s="3"/>
      <c r="F5" s="3"/>
      <c r="G5" s="3"/>
      <c r="H5" s="194"/>
      <c r="I5" s="194"/>
      <c r="J5" s="194"/>
      <c r="K5" s="3"/>
      <c r="L5" s="3"/>
    </row>
    <row r="6" spans="1:12" x14ac:dyDescent="0.25">
      <c r="A6" s="3"/>
      <c r="B6" s="3"/>
      <c r="C6" s="3"/>
      <c r="D6" s="187" t="s">
        <v>310</v>
      </c>
      <c r="E6" s="3"/>
      <c r="F6" s="3"/>
      <c r="G6" s="3"/>
      <c r="H6" s="194"/>
      <c r="I6" s="3"/>
      <c r="J6" s="3"/>
      <c r="K6" s="3"/>
      <c r="L6" s="3"/>
    </row>
    <row r="7" spans="1:12" x14ac:dyDescent="0.25">
      <c r="A7" s="3"/>
      <c r="B7" s="3"/>
      <c r="C7" s="171">
        <f>BS!$C$8</f>
        <v>4.6566128730773926E-10</v>
      </c>
      <c r="D7" s="191" t="str">
        <f>структура!$P$12</f>
        <v>контроль</v>
      </c>
      <c r="E7" s="3"/>
      <c r="F7" s="3"/>
      <c r="G7" s="3"/>
      <c r="H7" s="194"/>
      <c r="I7" s="3"/>
      <c r="J7" s="208" t="s">
        <v>350</v>
      </c>
      <c r="K7" s="3"/>
      <c r="L7" s="3"/>
    </row>
    <row r="8" spans="1:12" s="11" customFormat="1" x14ac:dyDescent="0.25">
      <c r="A8" s="10"/>
      <c r="B8" s="10"/>
      <c r="C8" s="10"/>
      <c r="D8" s="10" t="s">
        <v>311</v>
      </c>
      <c r="E8" s="10"/>
      <c r="F8" s="10"/>
      <c r="G8" s="10"/>
      <c r="H8" s="194"/>
      <c r="I8" s="10"/>
      <c r="J8" s="10"/>
      <c r="K8" s="10"/>
      <c r="L8" s="10"/>
    </row>
    <row r="9" spans="1:12" x14ac:dyDescent="0.25">
      <c r="A9" s="3"/>
      <c r="B9" s="3"/>
      <c r="C9" s="3"/>
      <c r="D9" s="3"/>
      <c r="E9" s="3"/>
      <c r="F9" s="200" t="s">
        <v>349</v>
      </c>
      <c r="G9" s="3"/>
      <c r="H9" s="194"/>
      <c r="I9" s="3"/>
      <c r="J9" s="3"/>
      <c r="K9" s="3"/>
      <c r="L9" s="3"/>
    </row>
    <row r="10" spans="1:12" s="11" customFormat="1" x14ac:dyDescent="0.25">
      <c r="A10" s="10"/>
      <c r="B10" s="10"/>
      <c r="C10" s="10"/>
      <c r="D10" s="10"/>
      <c r="E10" s="10"/>
      <c r="F10" s="59" t="s">
        <v>322</v>
      </c>
      <c r="G10" s="10"/>
      <c r="H10" s="195" t="s">
        <v>323</v>
      </c>
      <c r="I10" s="10"/>
      <c r="J10" s="59" t="s">
        <v>324</v>
      </c>
      <c r="K10" s="10"/>
      <c r="L10" s="10"/>
    </row>
    <row r="11" spans="1:12" x14ac:dyDescent="0.25">
      <c r="A11" s="3"/>
      <c r="B11" s="3"/>
      <c r="C11" s="3"/>
      <c r="D11" s="3"/>
      <c r="E11" s="3"/>
      <c r="F11" s="60"/>
      <c r="G11" s="3"/>
      <c r="H11" s="196"/>
      <c r="I11" s="3"/>
      <c r="J11" s="60"/>
      <c r="K11" s="3"/>
      <c r="L11" s="3"/>
    </row>
    <row r="12" spans="1:12" x14ac:dyDescent="0.25">
      <c r="A12" s="3"/>
      <c r="B12" s="3"/>
      <c r="C12" s="3"/>
      <c r="D12" s="3"/>
      <c r="E12" s="3"/>
      <c r="F12" s="199" t="s">
        <v>312</v>
      </c>
      <c r="G12" s="199"/>
      <c r="H12" s="201" t="s">
        <v>325</v>
      </c>
      <c r="I12" s="199"/>
      <c r="J12" s="199" t="s">
        <v>326</v>
      </c>
      <c r="K12" s="3"/>
      <c r="L12" s="3"/>
    </row>
    <row r="13" spans="1:12" x14ac:dyDescent="0.25">
      <c r="A13" s="3"/>
      <c r="B13" s="3"/>
      <c r="C13" s="3"/>
      <c r="D13" s="3"/>
      <c r="E13" s="3"/>
      <c r="F13" s="199"/>
      <c r="G13" s="199"/>
      <c r="H13" s="202"/>
      <c r="I13" s="199"/>
      <c r="J13" s="199" t="s">
        <v>327</v>
      </c>
      <c r="K13" s="3"/>
      <c r="L13" s="3"/>
    </row>
    <row r="14" spans="1:12" s="181" customFormat="1" x14ac:dyDescent="0.15">
      <c r="A14" s="177"/>
      <c r="B14" s="177"/>
      <c r="C14" s="177"/>
      <c r="D14" s="177"/>
      <c r="E14" s="177"/>
      <c r="F14" s="177"/>
      <c r="G14" s="177"/>
      <c r="H14" s="194"/>
      <c r="I14" s="177"/>
      <c r="J14" s="177"/>
      <c r="K14" s="177"/>
      <c r="L14" s="177"/>
    </row>
    <row r="15" spans="1:12" x14ac:dyDescent="0.25">
      <c r="A15" s="3"/>
      <c r="B15" s="3"/>
      <c r="C15" s="3"/>
      <c r="D15" s="3"/>
      <c r="E15" s="3"/>
      <c r="F15" s="199" t="s">
        <v>314</v>
      </c>
      <c r="G15" s="199"/>
      <c r="H15" s="203" t="s">
        <v>278</v>
      </c>
      <c r="I15" s="199"/>
      <c r="J15" s="199" t="s">
        <v>328</v>
      </c>
      <c r="K15" s="3"/>
      <c r="L15" s="3"/>
    </row>
    <row r="16" spans="1:12" x14ac:dyDescent="0.25">
      <c r="A16" s="3"/>
      <c r="B16" s="3"/>
      <c r="C16" s="3"/>
      <c r="D16" s="3"/>
      <c r="E16" s="3"/>
      <c r="F16" s="199"/>
      <c r="G16" s="199"/>
      <c r="H16" s="202"/>
      <c r="I16" s="199"/>
      <c r="J16" s="199" t="s">
        <v>329</v>
      </c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194"/>
      <c r="I17" s="3"/>
      <c r="J17" s="198" t="str">
        <f>"- "&amp;KPI!$F$250</f>
        <v>- NPV инвестиционных вложений (Inv)</v>
      </c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194"/>
      <c r="I18" s="3"/>
      <c r="J18" s="198" t="str">
        <f>"- "&amp;KPI!$F$254</f>
        <v>- NPV потока ДС (CF)</v>
      </c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194"/>
      <c r="I19" s="3"/>
      <c r="J19" s="198" t="str">
        <f>"- "&amp;KPI!$F$256</f>
        <v>- Возврат инвестиций</v>
      </c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194"/>
      <c r="I20" s="3"/>
      <c r="J20" s="198" t="str">
        <f>"- "&amp;KPI!$F$257</f>
        <v>- PP - период окупаемости</v>
      </c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194"/>
      <c r="I21" s="3"/>
      <c r="J21" s="198" t="str">
        <f>"- "&amp;KPI!$F$260</f>
        <v>- NPV CF после инвестиционного периода</v>
      </c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194"/>
      <c r="I22" s="3"/>
      <c r="J22" s="198" t="str">
        <f>"- "&amp;KPI!$F$261</f>
        <v>- PI инвестиционного периода</v>
      </c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194"/>
      <c r="I23" s="3"/>
      <c r="J23" s="198" t="str">
        <f>"- "&amp;KPI!$F$262</f>
        <v>- NPV полный</v>
      </c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194"/>
      <c r="I24" s="3"/>
      <c r="J24" s="198" t="str">
        <f>"- "&amp;KPI!$F$263</f>
        <v>- PI полный</v>
      </c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194"/>
      <c r="I25" s="3"/>
      <c r="J25" s="198" t="str">
        <f>"- "&amp;KPI!$F$265</f>
        <v>- ROI инвестиционного периода</v>
      </c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194"/>
      <c r="I26" s="3"/>
      <c r="J26" s="198" t="str">
        <f>"- "&amp;KPI!$F$266</f>
        <v>- ROI полный</v>
      </c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194"/>
      <c r="I27" s="3"/>
      <c r="J27" s="198" t="str">
        <f>"- "&amp;KPI!$F$270</f>
        <v>- IRR - внутренняя норма доходности</v>
      </c>
      <c r="K27" s="3"/>
      <c r="L27" s="3"/>
    </row>
    <row r="28" spans="1:12" s="181" customFormat="1" x14ac:dyDescent="0.15">
      <c r="A28" s="177"/>
      <c r="B28" s="177"/>
      <c r="C28" s="177"/>
      <c r="D28" s="177"/>
      <c r="E28" s="177"/>
      <c r="F28" s="177"/>
      <c r="G28" s="177"/>
      <c r="H28" s="194"/>
      <c r="I28" s="177"/>
      <c r="J28" s="177"/>
      <c r="K28" s="177"/>
      <c r="L28" s="177"/>
    </row>
    <row r="29" spans="1:12" x14ac:dyDescent="0.25">
      <c r="A29" s="3"/>
      <c r="B29" s="3"/>
      <c r="C29" s="3"/>
      <c r="D29" s="3"/>
      <c r="E29" s="3"/>
      <c r="F29" s="199" t="s">
        <v>315</v>
      </c>
      <c r="G29" s="199"/>
      <c r="H29" s="204" t="s">
        <v>330</v>
      </c>
      <c r="I29" s="199"/>
      <c r="J29" s="199" t="s">
        <v>332</v>
      </c>
      <c r="K29" s="3"/>
      <c r="L29" s="3"/>
    </row>
    <row r="30" spans="1:12" x14ac:dyDescent="0.25">
      <c r="A30" s="3"/>
      <c r="B30" s="3"/>
      <c r="C30" s="3"/>
      <c r="D30" s="3"/>
      <c r="E30" s="3"/>
      <c r="F30" s="199"/>
      <c r="G30" s="199"/>
      <c r="H30" s="202"/>
      <c r="I30" s="199"/>
      <c r="J30" s="199" t="s">
        <v>333</v>
      </c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194"/>
      <c r="I31" s="3"/>
      <c r="J31" s="198" t="str">
        <f>"- "&amp;KPI!$F$124</f>
        <v>- Выручка</v>
      </c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194"/>
      <c r="I32" s="3"/>
      <c r="J32" s="198" t="str">
        <f>"- "&amp;KPI!$F$126</f>
        <v>- Валовая прибыль</v>
      </c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194"/>
      <c r="I33" s="3"/>
      <c r="J33" s="198" t="str">
        <f>"- "&amp;KPI!$F$127</f>
        <v>- Переменные расходы</v>
      </c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194"/>
      <c r="I34" s="3"/>
      <c r="J34" s="198" t="str">
        <f>"- "&amp;KPI!$F$134</f>
        <v>- Маржинальная прибыль</v>
      </c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194"/>
      <c r="I35" s="3"/>
      <c r="J35" s="198" t="str">
        <f>"- "&amp;KPI!$F$128</f>
        <v>- Постоянные расходы</v>
      </c>
      <c r="K35" s="3"/>
      <c r="L35" s="3"/>
    </row>
    <row r="36" spans="1:12" s="181" customFormat="1" x14ac:dyDescent="0.15">
      <c r="A36" s="177"/>
      <c r="B36" s="177"/>
      <c r="C36" s="177"/>
      <c r="D36" s="177"/>
      <c r="E36" s="177"/>
      <c r="F36" s="177"/>
      <c r="G36" s="177"/>
      <c r="H36" s="194"/>
      <c r="I36" s="177"/>
      <c r="J36" s="177"/>
      <c r="K36" s="177"/>
      <c r="L36" s="177"/>
    </row>
    <row r="37" spans="1:12" x14ac:dyDescent="0.25">
      <c r="A37" s="3"/>
      <c r="B37" s="3"/>
      <c r="C37" s="3"/>
      <c r="D37" s="3"/>
      <c r="E37" s="3"/>
      <c r="F37" s="199" t="s">
        <v>316</v>
      </c>
      <c r="G37" s="199"/>
      <c r="H37" s="204" t="s">
        <v>331</v>
      </c>
      <c r="I37" s="199"/>
      <c r="J37" s="199" t="s">
        <v>334</v>
      </c>
      <c r="K37" s="3"/>
      <c r="L37" s="3"/>
    </row>
    <row r="38" spans="1:12" x14ac:dyDescent="0.25">
      <c r="A38" s="3"/>
      <c r="B38" s="3"/>
      <c r="C38" s="3"/>
      <c r="D38" s="3"/>
      <c r="E38" s="3"/>
      <c r="F38" s="199"/>
      <c r="G38" s="199"/>
      <c r="H38" s="202"/>
      <c r="I38" s="199"/>
      <c r="J38" s="199" t="s">
        <v>333</v>
      </c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194"/>
      <c r="I39" s="3"/>
      <c r="J39" s="198" t="str">
        <f>"- "&amp;KPI!$F$198</f>
        <v>- Операционные расходы</v>
      </c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194"/>
      <c r="I40" s="3"/>
      <c r="J40" s="198" t="str">
        <f>"- "&amp;KPI!$F$135</f>
        <v>- EBITDA - прибыль от собственной операц. деят-ти</v>
      </c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194"/>
      <c r="I41" s="3"/>
      <c r="J41" s="198" t="str">
        <f>"- "&amp;KPI!$F$137</f>
        <v>- EBIT - прибыль до учета %-тов и налога на прибыль</v>
      </c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194"/>
      <c r="I42" s="3"/>
      <c r="J42" s="198" t="str">
        <f>"- "&amp;KPI!$F$151</f>
        <v>- NOPAT до учета налога на прибыль</v>
      </c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194"/>
      <c r="I43" s="3"/>
      <c r="J43" s="198" t="str">
        <f>"- "&amp;KPI!$F$154</f>
        <v>- NOPAT - "чистая прибыль"</v>
      </c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194"/>
      <c r="I44" s="3"/>
      <c r="J44" s="198" t="str">
        <f>"- "&amp;KPI!$F$264</f>
        <v>- EVA - экономическая добавленная стоимость</v>
      </c>
      <c r="K44" s="3"/>
      <c r="L44" s="3"/>
    </row>
    <row r="45" spans="1:12" s="181" customFormat="1" x14ac:dyDescent="0.15">
      <c r="A45" s="177"/>
      <c r="B45" s="177"/>
      <c r="C45" s="177"/>
      <c r="D45" s="177"/>
      <c r="E45" s="177"/>
      <c r="F45" s="177"/>
      <c r="G45" s="177"/>
      <c r="H45" s="194"/>
      <c r="I45" s="177"/>
      <c r="J45" s="177"/>
      <c r="K45" s="177"/>
      <c r="L45" s="177"/>
    </row>
    <row r="46" spans="1:12" x14ac:dyDescent="0.25">
      <c r="A46" s="3"/>
      <c r="B46" s="3"/>
      <c r="C46" s="3"/>
      <c r="D46" s="3"/>
      <c r="E46" s="3"/>
      <c r="F46" s="199" t="s">
        <v>317</v>
      </c>
      <c r="G46" s="199"/>
      <c r="H46" s="204" t="s">
        <v>335</v>
      </c>
      <c r="I46" s="199"/>
      <c r="J46" s="199" t="s">
        <v>336</v>
      </c>
      <c r="K46" s="3"/>
      <c r="L46" s="3"/>
    </row>
    <row r="47" spans="1:12" x14ac:dyDescent="0.25">
      <c r="A47" s="3"/>
      <c r="B47" s="3"/>
      <c r="C47" s="3"/>
      <c r="D47" s="3"/>
      <c r="E47" s="3"/>
      <c r="F47" s="199"/>
      <c r="G47" s="199"/>
      <c r="H47" s="202"/>
      <c r="I47" s="199"/>
      <c r="J47" s="199" t="s">
        <v>337</v>
      </c>
      <c r="K47" s="3"/>
      <c r="L47" s="3"/>
    </row>
    <row r="48" spans="1:12" s="181" customFormat="1" x14ac:dyDescent="0.15">
      <c r="A48" s="177"/>
      <c r="B48" s="177"/>
      <c r="C48" s="177"/>
      <c r="D48" s="177"/>
      <c r="E48" s="177"/>
      <c r="F48" s="177"/>
      <c r="G48" s="177"/>
      <c r="H48" s="194"/>
      <c r="I48" s="177"/>
      <c r="J48" s="177"/>
      <c r="K48" s="177"/>
      <c r="L48" s="177"/>
    </row>
    <row r="49" spans="1:12" x14ac:dyDescent="0.25">
      <c r="A49" s="3"/>
      <c r="B49" s="3"/>
      <c r="C49" s="3"/>
      <c r="D49" s="3"/>
      <c r="E49" s="3"/>
      <c r="F49" s="199" t="s">
        <v>318</v>
      </c>
      <c r="G49" s="199"/>
      <c r="H49" s="204" t="s">
        <v>338</v>
      </c>
      <c r="I49" s="199"/>
      <c r="J49" s="199" t="s">
        <v>339</v>
      </c>
      <c r="K49" s="3"/>
      <c r="L49" s="3"/>
    </row>
    <row r="50" spans="1:12" x14ac:dyDescent="0.25">
      <c r="A50" s="3"/>
      <c r="B50" s="3"/>
      <c r="C50" s="3"/>
      <c r="D50" s="3"/>
      <c r="E50" s="3"/>
      <c r="F50" s="199"/>
      <c r="G50" s="199"/>
      <c r="H50" s="202"/>
      <c r="I50" s="199"/>
      <c r="J50" s="199" t="s">
        <v>340</v>
      </c>
      <c r="K50" s="3"/>
      <c r="L50" s="3"/>
    </row>
    <row r="51" spans="1:12" s="181" customFormat="1" x14ac:dyDescent="0.15">
      <c r="A51" s="177"/>
      <c r="B51" s="177"/>
      <c r="C51" s="177"/>
      <c r="D51" s="177"/>
      <c r="E51" s="177"/>
      <c r="F51" s="177"/>
      <c r="G51" s="177"/>
      <c r="H51" s="194"/>
      <c r="I51" s="177"/>
      <c r="J51" s="177"/>
      <c r="K51" s="177"/>
      <c r="L51" s="177"/>
    </row>
    <row r="52" spans="1:12" x14ac:dyDescent="0.25">
      <c r="A52" s="3"/>
      <c r="B52" s="3"/>
      <c r="C52" s="3"/>
      <c r="D52" s="3"/>
      <c r="E52" s="3"/>
      <c r="F52" s="199" t="s">
        <v>319</v>
      </c>
      <c r="G52" s="199"/>
      <c r="H52" s="205" t="s">
        <v>23</v>
      </c>
      <c r="I52" s="199"/>
      <c r="J52" s="199" t="s">
        <v>343</v>
      </c>
      <c r="K52" s="3"/>
      <c r="L52" s="3"/>
    </row>
    <row r="53" spans="1:12" x14ac:dyDescent="0.25">
      <c r="A53" s="3"/>
      <c r="B53" s="3"/>
      <c r="C53" s="3"/>
      <c r="D53" s="3"/>
      <c r="E53" s="3"/>
      <c r="F53" s="199"/>
      <c r="G53" s="199"/>
      <c r="H53" s="202"/>
      <c r="I53" s="199"/>
      <c r="J53" s="199" t="s">
        <v>341</v>
      </c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194"/>
      <c r="I54" s="3"/>
      <c r="J54" s="3" t="s">
        <v>342</v>
      </c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194"/>
      <c r="I55" s="3"/>
      <c r="J55" s="3" t="s">
        <v>344</v>
      </c>
      <c r="K55" s="3"/>
      <c r="L55" s="3"/>
    </row>
    <row r="56" spans="1:12" s="181" customFormat="1" x14ac:dyDescent="0.15">
      <c r="A56" s="177"/>
      <c r="B56" s="177"/>
      <c r="C56" s="177"/>
      <c r="D56" s="177"/>
      <c r="E56" s="177"/>
      <c r="F56" s="177"/>
      <c r="G56" s="177"/>
      <c r="H56" s="194"/>
      <c r="I56" s="177"/>
      <c r="J56" s="177"/>
      <c r="K56" s="177"/>
      <c r="L56" s="177"/>
    </row>
    <row r="57" spans="1:12" x14ac:dyDescent="0.25">
      <c r="A57" s="3"/>
      <c r="B57" s="3"/>
      <c r="C57" s="3"/>
      <c r="D57" s="3"/>
      <c r="E57" s="3"/>
      <c r="F57" s="199" t="s">
        <v>17</v>
      </c>
      <c r="G57" s="199"/>
      <c r="H57" s="206" t="s">
        <v>345</v>
      </c>
      <c r="I57" s="199"/>
      <c r="J57" s="199" t="s">
        <v>346</v>
      </c>
      <c r="K57" s="3"/>
      <c r="L57" s="3"/>
    </row>
    <row r="58" spans="1:12" s="181" customFormat="1" x14ac:dyDescent="0.15">
      <c r="A58" s="177"/>
      <c r="B58" s="177"/>
      <c r="C58" s="177"/>
      <c r="D58" s="177"/>
      <c r="E58" s="177"/>
      <c r="F58" s="177"/>
      <c r="G58" s="177"/>
      <c r="H58" s="194"/>
      <c r="I58" s="177"/>
      <c r="J58" s="177"/>
      <c r="K58" s="177"/>
      <c r="L58" s="177"/>
    </row>
    <row r="59" spans="1:12" x14ac:dyDescent="0.25">
      <c r="A59" s="3"/>
      <c r="B59" s="3"/>
      <c r="C59" s="3"/>
      <c r="D59" s="3"/>
      <c r="E59" s="3"/>
      <c r="F59" s="199" t="s">
        <v>320</v>
      </c>
      <c r="G59" s="199"/>
      <c r="H59" s="207" t="s">
        <v>347</v>
      </c>
      <c r="I59" s="199"/>
      <c r="J59" s="199" t="s">
        <v>348</v>
      </c>
      <c r="K59" s="3"/>
      <c r="L59" s="3"/>
    </row>
    <row r="60" spans="1:12" s="181" customFormat="1" x14ac:dyDescent="0.15">
      <c r="A60" s="177"/>
      <c r="B60" s="177"/>
      <c r="C60" s="177"/>
      <c r="D60" s="177"/>
      <c r="E60" s="177"/>
      <c r="F60" s="177"/>
      <c r="G60" s="177"/>
      <c r="H60" s="194"/>
      <c r="I60" s="177"/>
      <c r="J60" s="177"/>
      <c r="K60" s="177"/>
      <c r="L60" s="177"/>
    </row>
    <row r="61" spans="1:12" x14ac:dyDescent="0.25">
      <c r="A61" s="3"/>
      <c r="B61" s="3"/>
      <c r="C61" s="3"/>
      <c r="D61" s="3"/>
      <c r="E61" s="3"/>
      <c r="F61" s="3"/>
      <c r="G61" s="3"/>
      <c r="H61" s="194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194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194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194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194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194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194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194"/>
      <c r="I68" s="3"/>
      <c r="J68" s="3"/>
      <c r="K68" s="3"/>
      <c r="L68" s="3"/>
    </row>
  </sheetData>
  <hyperlinks>
    <hyperlink ref="F12:J13" location="условия!A1" tooltip="в условия" display="НАЧАЛЬНЫЕ УСЛОВИЯ ИНВЕСТМОДЕЛИ"/>
    <hyperlink ref="F15:J16" location="NPV!A1" tooltip="NPV-анализ" display="NPV-АНАЛИЗ ИНВЕСТМОДЕЛИ"/>
    <hyperlink ref="F29:J30" location="PL_m!A1" tooltip="к маржинальному P&amp;L" display="МАРЖИНАЛЬНЫЙ P&amp;L (отчет о прибылях и убытках)"/>
    <hyperlink ref="F37:J38" location="PL_f!A1" tooltip="к функциональному P&amp;L" display="ФУНКЦИОНАЛЬНЫЙ P&amp;L (отчет о прибылях и убытках)"/>
    <hyperlink ref="F46:J47" location="CF!A1" tooltip="к ДДС, CashFlow" display="CASH FLOW (отчет о движении денежных средств, ДДС)"/>
    <hyperlink ref="F49:J50" location="BS!A1" tooltip="к Балансу" display="БАЛАНС ИНВЕСТПРОЕКТА"/>
    <hyperlink ref="F52:J53" location="KPI!A1" tooltip="к системе KPI" display="Показатели (KPI) экономики инвестпроекта"/>
    <hyperlink ref="F57:J57" location="структура!A1" tooltip="структура" display="Структурные характеристики модели"/>
    <hyperlink ref="F59:J59" location="monthly!A1" tooltip="ежемесячные расчеты" display="Ежемесячные расчеты инвестмодели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E240"/>
  <sheetViews>
    <sheetView showGridLines="0" workbookViewId="0">
      <pane xSplit="18" ySplit="9" topLeftCell="S10" activePane="bottomRight" state="frozen"/>
      <selection pane="topRight" activeCell="T1" sqref="T1"/>
      <selection pane="bottomLeft" activeCell="A10" sqref="A10"/>
      <selection pane="bottomRight" activeCell="A10" sqref="A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2" customWidth="1"/>
    <col min="6" max="6" width="65.88671875" style="2" bestFit="1" customWidth="1"/>
    <col min="7" max="9" width="2.6640625" style="2" customWidth="1"/>
    <col min="10" max="10" width="13.88671875" style="2" bestFit="1" customWidth="1"/>
    <col min="11" max="11" width="1.6640625" style="2" customWidth="1"/>
    <col min="12" max="12" width="2.6640625" style="2" bestFit="1" customWidth="1"/>
    <col min="13" max="13" width="16.6640625" style="2" customWidth="1"/>
    <col min="14" max="14" width="2.6640625" style="2" customWidth="1"/>
    <col min="15" max="16" width="1.6640625" style="2" customWidth="1"/>
    <col min="17" max="17" width="8.109375" style="2" customWidth="1"/>
    <col min="18" max="19" width="1.6640625" style="2" customWidth="1"/>
    <col min="20" max="29" width="9.109375" style="2"/>
    <col min="30" max="31" width="1.6640625" style="2" customWidth="1"/>
    <col min="32" max="16384" width="9.109375" style="2"/>
  </cols>
  <sheetData>
    <row r="1" spans="1:3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>
        <v>1</v>
      </c>
      <c r="U1" s="3">
        <f>T1+1</f>
        <v>2</v>
      </c>
      <c r="V1" s="3">
        <f t="shared" ref="V1:AC1" si="0">U1+1</f>
        <v>3</v>
      </c>
      <c r="W1" s="3">
        <f t="shared" si="0"/>
        <v>4</v>
      </c>
      <c r="X1" s="3">
        <f t="shared" si="0"/>
        <v>5</v>
      </c>
      <c r="Y1" s="3">
        <f t="shared" si="0"/>
        <v>6</v>
      </c>
      <c r="Z1" s="3">
        <f t="shared" si="0"/>
        <v>7</v>
      </c>
      <c r="AA1" s="3">
        <f t="shared" si="0"/>
        <v>8</v>
      </c>
      <c r="AB1" s="3">
        <f t="shared" si="0"/>
        <v>9</v>
      </c>
      <c r="AC1" s="3">
        <f t="shared" si="0"/>
        <v>10</v>
      </c>
      <c r="AD1" s="3"/>
      <c r="AE1" s="3"/>
    </row>
    <row r="2" spans="1:31" x14ac:dyDescent="0.25">
      <c r="A2" s="3"/>
      <c r="B2" s="3"/>
      <c r="C2" s="171">
        <f>BS!$C$8</f>
        <v>4.6566128730773926E-10</v>
      </c>
      <c r="D2" s="191" t="str">
        <f>структура!$P$12</f>
        <v>контроль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/>
      <c r="B5" s="3"/>
      <c r="C5" s="3"/>
      <c r="D5" s="10" t="str">
        <f>оглавление!$D$5</f>
        <v>Регион: РФ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/>
      <c r="B6" s="3"/>
      <c r="C6" s="3"/>
      <c r="D6" s="10" t="str">
        <f>оглавление!$D$6</f>
        <v>Юр/лица: одно юр/лицо + Инвестор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/>
      <c r="B7" s="3"/>
      <c r="C7" s="22" t="str">
        <f>"*"</f>
        <v>*</v>
      </c>
      <c r="D7" s="188"/>
      <c r="E7" s="189"/>
      <c r="F7" s="190" t="s">
        <v>313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5" t="str">
        <f>IF(T9="","",YEAR(T9)&amp;"г.")</f>
        <v>2021г.</v>
      </c>
      <c r="U7" s="25" t="str">
        <f t="shared" ref="U7:AC7" si="1">IF(U9="","",YEAR(U9)&amp;"г.")</f>
        <v>2022г.</v>
      </c>
      <c r="V7" s="25" t="str">
        <f t="shared" si="1"/>
        <v>2023г.</v>
      </c>
      <c r="W7" s="25" t="str">
        <f t="shared" si="1"/>
        <v>2024г.</v>
      </c>
      <c r="X7" s="25" t="str">
        <f t="shared" si="1"/>
        <v>2025г.</v>
      </c>
      <c r="Y7" s="25" t="str">
        <f t="shared" si="1"/>
        <v>2026г.</v>
      </c>
      <c r="Z7" s="25" t="str">
        <f t="shared" si="1"/>
        <v>2027г.</v>
      </c>
      <c r="AA7" s="25" t="str">
        <f t="shared" si="1"/>
        <v>2028г.</v>
      </c>
      <c r="AB7" s="25" t="str">
        <f t="shared" si="1"/>
        <v>2029г.</v>
      </c>
      <c r="AC7" s="25" t="str">
        <f t="shared" si="1"/>
        <v>2030г.</v>
      </c>
      <c r="AD7" s="3"/>
      <c r="AE7" s="3"/>
    </row>
    <row r="8" spans="1:31" x14ac:dyDescent="0.25">
      <c r="A8" s="3"/>
      <c r="B8" s="3"/>
      <c r="C8" s="3"/>
      <c r="D8" s="10" t="str">
        <f>оглавление!$F$12</f>
        <v>НАЧАЛЬНЫЕ УСЛОВИЯ ИНВЕСТМОДЕЛИ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4">
        <f>IF($M$11="","",$M$11)</f>
        <v>44197</v>
      </c>
      <c r="U8" s="24">
        <f>IF(T9="","",T9+1)</f>
        <v>44562</v>
      </c>
      <c r="V8" s="24">
        <f t="shared" ref="V8:AC8" si="2">IF(U9="","",U9+1)</f>
        <v>44927</v>
      </c>
      <c r="W8" s="24">
        <f t="shared" si="2"/>
        <v>45292</v>
      </c>
      <c r="X8" s="24">
        <f t="shared" si="2"/>
        <v>45658</v>
      </c>
      <c r="Y8" s="24">
        <f t="shared" si="2"/>
        <v>46023</v>
      </c>
      <c r="Z8" s="24">
        <f t="shared" si="2"/>
        <v>46388</v>
      </c>
      <c r="AA8" s="24">
        <f t="shared" si="2"/>
        <v>46753</v>
      </c>
      <c r="AB8" s="24">
        <f t="shared" si="2"/>
        <v>47119</v>
      </c>
      <c r="AC8" s="24">
        <f t="shared" si="2"/>
        <v>47484</v>
      </c>
      <c r="AD8" s="3"/>
      <c r="AE8" s="3"/>
    </row>
    <row r="9" spans="1:31" x14ac:dyDescent="0.25">
      <c r="A9" s="10"/>
      <c r="B9" s="10"/>
      <c r="C9" s="10"/>
      <c r="D9" s="10"/>
      <c r="E9" s="10"/>
      <c r="F9" s="59" t="s">
        <v>2</v>
      </c>
      <c r="G9" s="10"/>
      <c r="H9" s="10"/>
      <c r="I9" s="10"/>
      <c r="J9" s="59" t="s">
        <v>3</v>
      </c>
      <c r="K9" s="10"/>
      <c r="L9" s="10"/>
      <c r="M9" s="59"/>
      <c r="N9" s="10"/>
      <c r="O9" s="10"/>
      <c r="P9" s="10"/>
      <c r="Q9" s="59"/>
      <c r="R9" s="10"/>
      <c r="S9" s="3"/>
      <c r="T9" s="61">
        <f>IF(T8="","",EOMONTH(T8,11))</f>
        <v>44561</v>
      </c>
      <c r="U9" s="61">
        <f>IF(U8="","",EOMONTH(U8,11))</f>
        <v>44926</v>
      </c>
      <c r="V9" s="61">
        <f t="shared" ref="V9:AC9" si="3">IF(V8="","",EOMONTH(V8,11))</f>
        <v>45291</v>
      </c>
      <c r="W9" s="61">
        <f t="shared" si="3"/>
        <v>45657</v>
      </c>
      <c r="X9" s="61">
        <f t="shared" si="3"/>
        <v>46022</v>
      </c>
      <c r="Y9" s="61">
        <f t="shared" si="3"/>
        <v>46387</v>
      </c>
      <c r="Z9" s="61">
        <f t="shared" si="3"/>
        <v>46752</v>
      </c>
      <c r="AA9" s="61">
        <f t="shared" si="3"/>
        <v>47118</v>
      </c>
      <c r="AB9" s="61">
        <f t="shared" si="3"/>
        <v>47483</v>
      </c>
      <c r="AC9" s="61">
        <f t="shared" si="3"/>
        <v>47848</v>
      </c>
      <c r="AD9" s="3"/>
      <c r="AE9" s="3"/>
    </row>
    <row r="10" spans="1:31" x14ac:dyDescent="0.25">
      <c r="A10" s="3"/>
      <c r="B10" s="3"/>
      <c r="C10" s="3"/>
      <c r="D10" s="3"/>
      <c r="E10" s="3"/>
      <c r="F10" s="60"/>
      <c r="G10" s="3"/>
      <c r="H10" s="3"/>
      <c r="I10" s="3"/>
      <c r="J10" s="60"/>
      <c r="K10" s="3"/>
      <c r="L10" s="3"/>
      <c r="M10" s="60"/>
      <c r="N10" s="3"/>
      <c r="O10" s="3"/>
      <c r="P10" s="3"/>
      <c r="Q10" s="60"/>
      <c r="R10" s="3"/>
      <c r="S10" s="3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3"/>
      <c r="AE10" s="3"/>
    </row>
    <row r="11" spans="1:31" x14ac:dyDescent="0.25">
      <c r="A11" s="3"/>
      <c r="B11" s="3"/>
      <c r="C11" s="3"/>
      <c r="D11" s="3"/>
      <c r="E11" s="3"/>
      <c r="F11" s="3" t="str">
        <f>структура!$D$9</f>
        <v>дата старта проекта</v>
      </c>
      <c r="G11" s="3"/>
      <c r="H11" s="3"/>
      <c r="I11" s="3"/>
      <c r="J11" s="3" t="str">
        <f>IF($F11="","",структура!$D$10)</f>
        <v>дата из списка</v>
      </c>
      <c r="K11" s="3"/>
      <c r="L11" s="22" t="str">
        <f>IF($F11="","","*")</f>
        <v>*</v>
      </c>
      <c r="M11" s="26">
        <v>44197</v>
      </c>
      <c r="N11" s="23" t="s">
        <v>22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1" customFormat="1" x14ac:dyDescent="0.25">
      <c r="A13" s="10"/>
      <c r="B13" s="10"/>
      <c r="C13" s="10"/>
      <c r="D13" s="10"/>
      <c r="E13" s="10"/>
      <c r="F13" s="10" t="str">
        <f>KPI!$F$11</f>
        <v>начальные капитальные затраты на производственную инфраструктуру</v>
      </c>
      <c r="G13" s="10"/>
      <c r="H13" s="10"/>
      <c r="I13" s="10"/>
      <c r="J13" s="10" t="str">
        <f>IF($F13="","",INDEX(KPI!$I$11:$I$275,SUMIFS(KPI!$E$11:$E$275,KPI!$F$11:$F$275,$F13)))</f>
        <v>тыс.руб.</v>
      </c>
      <c r="K13" s="10"/>
      <c r="L13" s="10"/>
      <c r="M13" s="10"/>
      <c r="N13" s="10"/>
      <c r="O13" s="10"/>
      <c r="P13" s="10"/>
      <c r="Q13" s="10"/>
      <c r="R13" s="10"/>
      <c r="S13" s="22" t="str">
        <f>IF($F13="","","*")</f>
        <v>*</v>
      </c>
      <c r="T13" s="27">
        <v>70000</v>
      </c>
      <c r="U13" s="27"/>
      <c r="V13" s="27"/>
      <c r="W13" s="27"/>
      <c r="X13" s="27"/>
      <c r="Y13" s="27"/>
      <c r="Z13" s="27"/>
      <c r="AA13" s="27"/>
      <c r="AB13" s="27"/>
      <c r="AC13" s="27"/>
      <c r="AD13" s="10"/>
      <c r="AE13" s="10"/>
    </row>
    <row r="14" spans="1:3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3"/>
      <c r="E15" s="3"/>
      <c r="F15" s="3" t="str">
        <f>структура!$G$9</f>
        <v>принцип ежемесячного распределения капитальных затрат</v>
      </c>
      <c r="G15" s="3"/>
      <c r="H15" s="3"/>
      <c r="I15" s="3"/>
      <c r="J15" s="3" t="str">
        <f>IF($F15="","",структура!$G$10)</f>
        <v>список</v>
      </c>
      <c r="K15" s="3"/>
      <c r="L15" s="22" t="str">
        <f>IF($F15="","","*")</f>
        <v>*</v>
      </c>
      <c r="M15" s="32" t="s">
        <v>24</v>
      </c>
      <c r="N15" s="23" t="s">
        <v>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1" t="str">
        <f>IF(OR(T17&gt;T18,AND(T13="",OR(T17&lt;&gt;"",T18&lt;&gt;""))),структура!$P$11,"")</f>
        <v/>
      </c>
      <c r="U16" s="21" t="str">
        <f>IF(OR(U17&gt;U18,AND(U13="",OR(U17&lt;&gt;"",U18&lt;&gt;""))),структура!$P$11,"")</f>
        <v/>
      </c>
      <c r="V16" s="21" t="str">
        <f>IF(OR(V17&gt;V18,AND(V13="",OR(V17&lt;&gt;"",V18&lt;&gt;""))),структура!$P$11,"")</f>
        <v/>
      </c>
      <c r="W16" s="21" t="str">
        <f>IF(OR(W17&gt;W18,AND(W13="",OR(W17&lt;&gt;"",W18&lt;&gt;""))),структура!$P$11,"")</f>
        <v/>
      </c>
      <c r="X16" s="21" t="str">
        <f>IF(OR(X17&gt;X18,AND(X13="",OR(X17&lt;&gt;"",X18&lt;&gt;""))),структура!$P$11,"")</f>
        <v/>
      </c>
      <c r="Y16" s="21" t="str">
        <f>IF(OR(Y17&gt;Y18,AND(Y13="",OR(Y17&lt;&gt;"",Y18&lt;&gt;""))),структура!$P$11,"")</f>
        <v/>
      </c>
      <c r="Z16" s="21" t="str">
        <f>IF(OR(Z17&gt;Z18,AND(Z13="",OR(Z17&lt;&gt;"",Z18&lt;&gt;""))),структура!$P$11,"")</f>
        <v/>
      </c>
      <c r="AA16" s="21" t="str">
        <f>IF(OR(AA17&gt;AA18,AND(AA13="",OR(AA17&lt;&gt;"",AA18&lt;&gt;""))),структура!$P$11,"")</f>
        <v/>
      </c>
      <c r="AB16" s="21" t="str">
        <f>IF(OR(AB17&gt;AB18,AND(AB13="",OR(AB17&lt;&gt;"",AB18&lt;&gt;""))),структура!$P$11,"")</f>
        <v/>
      </c>
      <c r="AC16" s="21" t="str">
        <f>IF(OR(AC17&gt;AC18,AND(AC13="",OR(AC17&lt;&gt;"",AC18&lt;&gt;""))),структура!$P$11,"")</f>
        <v/>
      </c>
      <c r="AD16" s="3"/>
      <c r="AE16" s="3"/>
    </row>
    <row r="17" spans="1:31" x14ac:dyDescent="0.25">
      <c r="A17" s="3"/>
      <c r="B17" s="3"/>
      <c r="C17" s="3"/>
      <c r="D17" s="3"/>
      <c r="E17" s="3"/>
      <c r="F17" s="3" t="str">
        <f>IF($M$15=структура!$G$12,KPI!$F$12,"")</f>
        <v>номер первого месяца равномерного распределения начальных кап. затрат</v>
      </c>
      <c r="G17" s="3"/>
      <c r="H17" s="3"/>
      <c r="I17" s="3"/>
      <c r="J17" s="3" t="str">
        <f>IF($F17="","",INDEX(KPI!$I$11:$I$275,SUMIFS(KPI!$E$11:$E$275,KPI!$F$11:$F$275,$F17)))</f>
        <v>№ мес</v>
      </c>
      <c r="K17" s="3"/>
      <c r="L17" s="3"/>
      <c r="M17" s="3" t="str">
        <f>IF($F17="","",структура!$J$10)</f>
        <v>список</v>
      </c>
      <c r="N17" s="3"/>
      <c r="O17" s="3"/>
      <c r="P17" s="3"/>
      <c r="Q17" s="3"/>
      <c r="R17" s="3"/>
      <c r="S17" s="30" t="str">
        <f t="shared" ref="S17:S18" si="4">IF($F17="","","*")</f>
        <v>*</v>
      </c>
      <c r="T17" s="29">
        <v>2</v>
      </c>
      <c r="U17" s="28"/>
      <c r="V17" s="28"/>
      <c r="W17" s="28"/>
      <c r="X17" s="28"/>
      <c r="Y17" s="28"/>
      <c r="Z17" s="28"/>
      <c r="AA17" s="28"/>
      <c r="AB17" s="28"/>
      <c r="AC17" s="28"/>
      <c r="AD17" s="3"/>
      <c r="AE17" s="3"/>
    </row>
    <row r="18" spans="1:31" x14ac:dyDescent="0.25">
      <c r="A18" s="3"/>
      <c r="B18" s="3"/>
      <c r="C18" s="3"/>
      <c r="D18" s="3"/>
      <c r="E18" s="3"/>
      <c r="F18" s="3" t="str">
        <f>IF($M$15=структура!$G$12,KPI!$F$13,"")</f>
        <v>номер последнего месяца равномерного распределения начальных кап. затрат</v>
      </c>
      <c r="G18" s="3"/>
      <c r="H18" s="3"/>
      <c r="I18" s="3"/>
      <c r="J18" s="3" t="str">
        <f>IF($F18="","",INDEX(KPI!$I$11:$I$275,SUMIFS(KPI!$E$11:$E$275,KPI!$F$11:$F$275,$F18)))</f>
        <v>№ мес</v>
      </c>
      <c r="K18" s="3"/>
      <c r="L18" s="3"/>
      <c r="M18" s="3" t="str">
        <f>IF($F18="","",структура!$J$10)</f>
        <v>список</v>
      </c>
      <c r="N18" s="3"/>
      <c r="O18" s="3"/>
      <c r="P18" s="3"/>
      <c r="Q18" s="3"/>
      <c r="R18" s="3"/>
      <c r="S18" s="30" t="str">
        <f t="shared" si="4"/>
        <v>*</v>
      </c>
      <c r="T18" s="29">
        <v>5</v>
      </c>
      <c r="U18" s="28"/>
      <c r="V18" s="28"/>
      <c r="W18" s="28"/>
      <c r="X18" s="28"/>
      <c r="Y18" s="28"/>
      <c r="Z18" s="28"/>
      <c r="AA18" s="28"/>
      <c r="AB18" s="28"/>
      <c r="AC18" s="28"/>
      <c r="AD18" s="3"/>
      <c r="AE18" s="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10" t="str">
        <f>IF($M$15=структура!$G$13,KPI!$F$14,"")</f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1" t="str">
        <f>IF(F20="","",IF(OR(COUNTIF(T21:T32,"&lt;"&amp;0)&gt;0,SUM(T21:T32)&lt;&gt;1),структура!$P$11,""))</f>
        <v/>
      </c>
      <c r="U20" s="21" t="str">
        <f>IF(G20="","",IF(OR(COUNTIF(U21:U32,"&lt;"&amp;0)&gt;0,SUM(U21:U32)&lt;&gt;1),структура!$P$11,""))</f>
        <v/>
      </c>
      <c r="V20" s="21" t="str">
        <f>IF(H20="","",IF(OR(COUNTIF(V21:V32,"&lt;"&amp;0)&gt;0,SUM(V21:V32)&lt;&gt;1),структура!$P$11,""))</f>
        <v/>
      </c>
      <c r="W20" s="21" t="str">
        <f>IF(I20="","",IF(OR(COUNTIF(W21:W32,"&lt;"&amp;0)&gt;0,SUM(W21:W32)&lt;&gt;1),структура!$P$11,""))</f>
        <v/>
      </c>
      <c r="X20" s="21" t="str">
        <f>IF(J20="","",IF(OR(COUNTIF(X21:X32,"&lt;"&amp;0)&gt;0,SUM(X21:X32)&lt;&gt;1),структура!$P$11,""))</f>
        <v/>
      </c>
      <c r="Y20" s="21" t="str">
        <f>IF(K20="","",IF(OR(COUNTIF(Y21:Y32,"&lt;"&amp;0)&gt;0,SUM(Y21:Y32)&lt;&gt;1),структура!$P$11,""))</f>
        <v/>
      </c>
      <c r="Z20" s="21" t="str">
        <f>IF(L20="","",IF(OR(COUNTIF(Z21:Z32,"&lt;"&amp;0)&gt;0,SUM(Z21:Z32)&lt;&gt;1),структура!$P$11,""))</f>
        <v/>
      </c>
      <c r="AA20" s="21" t="str">
        <f>IF(M20="","",IF(OR(COUNTIF(AA21:AA32,"&lt;"&amp;0)&gt;0,SUM(AA21:AA32)&lt;&gt;1),структура!$P$11,""))</f>
        <v/>
      </c>
      <c r="AB20" s="21" t="str">
        <f>IF(N20="","",IF(OR(COUNTIF(AB21:AB32,"&lt;"&amp;0)&gt;0,SUM(AB21:AB32)&lt;&gt;1),структура!$P$11,""))</f>
        <v/>
      </c>
      <c r="AC20" s="21" t="str">
        <f>IF(O20="","",IF(OR(COUNTIF(AC21:AC32,"&lt;"&amp;0)&gt;0,SUM(AC21:AC32)&lt;&gt;1),структура!$P$11,""))</f>
        <v/>
      </c>
      <c r="AD20" s="3"/>
      <c r="AE20" s="3"/>
    </row>
    <row r="21" spans="1:31" s="1" customFormat="1" ht="10.199999999999999" x14ac:dyDescent="0.2">
      <c r="A21" s="5"/>
      <c r="B21" s="5"/>
      <c r="C21" s="5"/>
      <c r="D21" s="5"/>
      <c r="E21" s="5"/>
      <c r="F21" s="5" t="str">
        <f>$F$20</f>
        <v/>
      </c>
      <c r="G21" s="5"/>
      <c r="H21" s="5"/>
      <c r="I21" s="5"/>
      <c r="J21" s="5" t="str">
        <f>IF($F21="","",INDEX(KPI!$I$11:$I$275,SUMIFS(KPI!$E$11:$E$275,KPI!$F$11:$F$275,$F21)))</f>
        <v/>
      </c>
      <c r="K21" s="5"/>
      <c r="L21" s="5" t="str">
        <f>IF($F21="","",структура!$J$11)</f>
        <v/>
      </c>
      <c r="M21" s="5" t="str">
        <f>IF($F21="","",структура!$M$11)</f>
        <v/>
      </c>
      <c r="N21" s="5"/>
      <c r="O21" s="5"/>
      <c r="P21" s="5"/>
      <c r="Q21" s="5"/>
      <c r="R21" s="5"/>
      <c r="S21" s="31" t="str">
        <f t="shared" ref="S21:S32" si="5">IF($F21="","","*")</f>
        <v/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5"/>
      <c r="AE21" s="5"/>
    </row>
    <row r="22" spans="1:31" s="1" customFormat="1" ht="10.199999999999999" x14ac:dyDescent="0.2">
      <c r="A22" s="5"/>
      <c r="B22" s="5"/>
      <c r="C22" s="5"/>
      <c r="D22" s="5"/>
      <c r="E22" s="5"/>
      <c r="F22" s="5" t="str">
        <f t="shared" ref="F22:F32" si="6">$F$20</f>
        <v/>
      </c>
      <c r="G22" s="5"/>
      <c r="H22" s="5"/>
      <c r="I22" s="5"/>
      <c r="J22" s="5" t="str">
        <f>IF($F22="","",INDEX(KPI!$I$11:$I$275,SUMIFS(KPI!$E$11:$E$275,KPI!$F$11:$F$275,$F22)))</f>
        <v/>
      </c>
      <c r="K22" s="5"/>
      <c r="L22" s="5" t="str">
        <f>IF($F22="","",структура!$J$12)</f>
        <v/>
      </c>
      <c r="M22" s="5" t="str">
        <f>IF($F22="","",структура!$M$12)</f>
        <v/>
      </c>
      <c r="N22" s="5"/>
      <c r="O22" s="5"/>
      <c r="P22" s="5"/>
      <c r="Q22" s="5"/>
      <c r="R22" s="5"/>
      <c r="S22" s="31" t="str">
        <f t="shared" si="5"/>
        <v/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5"/>
      <c r="AE22" s="5"/>
    </row>
    <row r="23" spans="1:31" s="1" customFormat="1" ht="10.199999999999999" x14ac:dyDescent="0.2">
      <c r="A23" s="5"/>
      <c r="B23" s="5"/>
      <c r="C23" s="5"/>
      <c r="D23" s="5"/>
      <c r="E23" s="5"/>
      <c r="F23" s="5" t="str">
        <f t="shared" si="6"/>
        <v/>
      </c>
      <c r="G23" s="5"/>
      <c r="H23" s="5"/>
      <c r="I23" s="5"/>
      <c r="J23" s="5" t="str">
        <f>IF($F23="","",INDEX(KPI!$I$11:$I$275,SUMIFS(KPI!$E$11:$E$275,KPI!$F$11:$F$275,$F23)))</f>
        <v/>
      </c>
      <c r="K23" s="5"/>
      <c r="L23" s="5" t="str">
        <f>IF($F23="","",структура!$J$13)</f>
        <v/>
      </c>
      <c r="M23" s="5" t="str">
        <f>IF($F23="","",структура!$M$13)</f>
        <v/>
      </c>
      <c r="N23" s="5"/>
      <c r="O23" s="5"/>
      <c r="P23" s="5"/>
      <c r="Q23" s="5"/>
      <c r="R23" s="5"/>
      <c r="S23" s="31" t="str">
        <f t="shared" si="5"/>
        <v/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5"/>
      <c r="AE23" s="5"/>
    </row>
    <row r="24" spans="1:31" s="1" customFormat="1" ht="10.199999999999999" x14ac:dyDescent="0.2">
      <c r="A24" s="5"/>
      <c r="B24" s="5"/>
      <c r="C24" s="5"/>
      <c r="D24" s="5"/>
      <c r="E24" s="5"/>
      <c r="F24" s="5" t="str">
        <f t="shared" si="6"/>
        <v/>
      </c>
      <c r="G24" s="5"/>
      <c r="H24" s="5"/>
      <c r="I24" s="5"/>
      <c r="J24" s="5" t="str">
        <f>IF($F24="","",INDEX(KPI!$I$11:$I$275,SUMIFS(KPI!$E$11:$E$275,KPI!$F$11:$F$275,$F24)))</f>
        <v/>
      </c>
      <c r="K24" s="5"/>
      <c r="L24" s="5" t="str">
        <f>IF($F24="","",структура!$J$14)</f>
        <v/>
      </c>
      <c r="M24" s="5" t="str">
        <f>IF($F24="","",структура!$M$14)</f>
        <v/>
      </c>
      <c r="N24" s="5"/>
      <c r="O24" s="5"/>
      <c r="P24" s="5"/>
      <c r="Q24" s="5"/>
      <c r="R24" s="5"/>
      <c r="S24" s="31" t="str">
        <f t="shared" si="5"/>
        <v/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5"/>
      <c r="AE24" s="5"/>
    </row>
    <row r="25" spans="1:31" s="1" customFormat="1" ht="10.199999999999999" x14ac:dyDescent="0.2">
      <c r="A25" s="5"/>
      <c r="B25" s="5"/>
      <c r="C25" s="5"/>
      <c r="D25" s="5"/>
      <c r="E25" s="5"/>
      <c r="F25" s="5" t="str">
        <f t="shared" si="6"/>
        <v/>
      </c>
      <c r="G25" s="5"/>
      <c r="H25" s="5"/>
      <c r="I25" s="5"/>
      <c r="J25" s="5" t="str">
        <f>IF($F25="","",INDEX(KPI!$I$11:$I$275,SUMIFS(KPI!$E$11:$E$275,KPI!$F$11:$F$275,$F25)))</f>
        <v/>
      </c>
      <c r="K25" s="5"/>
      <c r="L25" s="5" t="str">
        <f>IF($F25="","",структура!$J$15)</f>
        <v/>
      </c>
      <c r="M25" s="5" t="str">
        <f>IF($F25="","",структура!$M$15)</f>
        <v/>
      </c>
      <c r="N25" s="5"/>
      <c r="O25" s="5"/>
      <c r="P25" s="5"/>
      <c r="Q25" s="5"/>
      <c r="R25" s="5"/>
      <c r="S25" s="31" t="str">
        <f t="shared" si="5"/>
        <v/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5"/>
      <c r="AE25" s="5"/>
    </row>
    <row r="26" spans="1:31" s="1" customFormat="1" ht="10.199999999999999" x14ac:dyDescent="0.2">
      <c r="A26" s="5"/>
      <c r="B26" s="5"/>
      <c r="C26" s="5"/>
      <c r="D26" s="5"/>
      <c r="E26" s="5"/>
      <c r="F26" s="5" t="str">
        <f t="shared" si="6"/>
        <v/>
      </c>
      <c r="G26" s="5"/>
      <c r="H26" s="5"/>
      <c r="I26" s="5"/>
      <c r="J26" s="5" t="str">
        <f>IF($F26="","",INDEX(KPI!$I$11:$I$275,SUMIFS(KPI!$E$11:$E$275,KPI!$F$11:$F$275,$F26)))</f>
        <v/>
      </c>
      <c r="K26" s="5"/>
      <c r="L26" s="5" t="str">
        <f>IF($F26="","",структура!$J$16)</f>
        <v/>
      </c>
      <c r="M26" s="5" t="str">
        <f>IF($F26="","",структура!$M$16)</f>
        <v/>
      </c>
      <c r="N26" s="5"/>
      <c r="O26" s="5"/>
      <c r="P26" s="5"/>
      <c r="Q26" s="5"/>
      <c r="R26" s="5"/>
      <c r="S26" s="31" t="str">
        <f t="shared" si="5"/>
        <v/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5"/>
      <c r="AE26" s="5"/>
    </row>
    <row r="27" spans="1:31" s="1" customFormat="1" ht="10.199999999999999" x14ac:dyDescent="0.2">
      <c r="A27" s="5"/>
      <c r="B27" s="5"/>
      <c r="C27" s="5"/>
      <c r="D27" s="5"/>
      <c r="E27" s="5"/>
      <c r="F27" s="5" t="str">
        <f t="shared" si="6"/>
        <v/>
      </c>
      <c r="G27" s="5"/>
      <c r="H27" s="5"/>
      <c r="I27" s="5"/>
      <c r="J27" s="5" t="str">
        <f>IF($F27="","",INDEX(KPI!$I$11:$I$275,SUMIFS(KPI!$E$11:$E$275,KPI!$F$11:$F$275,$F27)))</f>
        <v/>
      </c>
      <c r="K27" s="5"/>
      <c r="L27" s="5" t="str">
        <f>IF($F27="","",структура!$J$17)</f>
        <v/>
      </c>
      <c r="M27" s="5" t="str">
        <f>IF($F27="","",структура!$M$17)</f>
        <v/>
      </c>
      <c r="N27" s="5"/>
      <c r="O27" s="5"/>
      <c r="P27" s="5"/>
      <c r="Q27" s="5"/>
      <c r="R27" s="5"/>
      <c r="S27" s="31" t="str">
        <f t="shared" si="5"/>
        <v/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5"/>
      <c r="AE27" s="5"/>
    </row>
    <row r="28" spans="1:31" s="1" customFormat="1" ht="10.199999999999999" x14ac:dyDescent="0.2">
      <c r="A28" s="5"/>
      <c r="B28" s="5"/>
      <c r="C28" s="5"/>
      <c r="D28" s="5"/>
      <c r="E28" s="5"/>
      <c r="F28" s="5" t="str">
        <f t="shared" si="6"/>
        <v/>
      </c>
      <c r="G28" s="5"/>
      <c r="H28" s="5"/>
      <c r="I28" s="5"/>
      <c r="J28" s="5" t="str">
        <f>IF($F28="","",INDEX(KPI!$I$11:$I$275,SUMIFS(KPI!$E$11:$E$275,KPI!$F$11:$F$275,$F28)))</f>
        <v/>
      </c>
      <c r="K28" s="5"/>
      <c r="L28" s="5" t="str">
        <f>IF($F28="","",структура!$J$18)</f>
        <v/>
      </c>
      <c r="M28" s="5" t="str">
        <f>IF($F28="","",структура!$M$18)</f>
        <v/>
      </c>
      <c r="N28" s="5"/>
      <c r="O28" s="5"/>
      <c r="P28" s="5"/>
      <c r="Q28" s="5"/>
      <c r="R28" s="5"/>
      <c r="S28" s="31" t="str">
        <f t="shared" si="5"/>
        <v/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5"/>
      <c r="AE28" s="5"/>
    </row>
    <row r="29" spans="1:31" s="1" customFormat="1" ht="10.199999999999999" x14ac:dyDescent="0.2">
      <c r="A29" s="5"/>
      <c r="B29" s="5"/>
      <c r="C29" s="5"/>
      <c r="D29" s="5"/>
      <c r="E29" s="5"/>
      <c r="F29" s="5" t="str">
        <f t="shared" si="6"/>
        <v/>
      </c>
      <c r="G29" s="5"/>
      <c r="H29" s="5"/>
      <c r="I29" s="5"/>
      <c r="J29" s="5" t="str">
        <f>IF($F29="","",INDEX(KPI!$I$11:$I$275,SUMIFS(KPI!$E$11:$E$275,KPI!$F$11:$F$275,$F29)))</f>
        <v/>
      </c>
      <c r="K29" s="5"/>
      <c r="L29" s="5" t="str">
        <f>IF($F29="","",структура!$J$19)</f>
        <v/>
      </c>
      <c r="M29" s="5" t="str">
        <f>IF($F29="","",структура!$M$19)</f>
        <v/>
      </c>
      <c r="N29" s="5"/>
      <c r="O29" s="5"/>
      <c r="P29" s="5"/>
      <c r="Q29" s="5"/>
      <c r="R29" s="5"/>
      <c r="S29" s="31" t="str">
        <f t="shared" si="5"/>
        <v/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5"/>
      <c r="AE29" s="5"/>
    </row>
    <row r="30" spans="1:31" s="1" customFormat="1" ht="10.199999999999999" x14ac:dyDescent="0.2">
      <c r="A30" s="5"/>
      <c r="B30" s="5"/>
      <c r="C30" s="5"/>
      <c r="D30" s="5"/>
      <c r="E30" s="5"/>
      <c r="F30" s="5" t="str">
        <f t="shared" si="6"/>
        <v/>
      </c>
      <c r="G30" s="5"/>
      <c r="H30" s="5"/>
      <c r="I30" s="5"/>
      <c r="J30" s="5" t="str">
        <f>IF($F30="","",INDEX(KPI!$I$11:$I$275,SUMIFS(KPI!$E$11:$E$275,KPI!$F$11:$F$275,$F30)))</f>
        <v/>
      </c>
      <c r="K30" s="5"/>
      <c r="L30" s="5" t="str">
        <f>IF($F30="","",структура!$J$20)</f>
        <v/>
      </c>
      <c r="M30" s="5" t="str">
        <f>IF($F30="","",структура!$M$20)</f>
        <v/>
      </c>
      <c r="N30" s="5"/>
      <c r="O30" s="5"/>
      <c r="P30" s="5"/>
      <c r="Q30" s="5"/>
      <c r="R30" s="5"/>
      <c r="S30" s="31" t="str">
        <f t="shared" si="5"/>
        <v/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5"/>
      <c r="AE30" s="5"/>
    </row>
    <row r="31" spans="1:31" s="1" customFormat="1" ht="10.199999999999999" x14ac:dyDescent="0.2">
      <c r="A31" s="5"/>
      <c r="B31" s="5"/>
      <c r="C31" s="5"/>
      <c r="D31" s="5"/>
      <c r="E31" s="5"/>
      <c r="F31" s="5" t="str">
        <f t="shared" si="6"/>
        <v/>
      </c>
      <c r="G31" s="5"/>
      <c r="H31" s="5"/>
      <c r="I31" s="5"/>
      <c r="J31" s="5" t="str">
        <f>IF($F31="","",INDEX(KPI!$I$11:$I$275,SUMIFS(KPI!$E$11:$E$275,KPI!$F$11:$F$275,$F31)))</f>
        <v/>
      </c>
      <c r="K31" s="5"/>
      <c r="L31" s="5" t="str">
        <f>IF($F31="","",структура!$J$21)</f>
        <v/>
      </c>
      <c r="M31" s="5" t="str">
        <f>IF($F31="","",структура!$M$21)</f>
        <v/>
      </c>
      <c r="N31" s="5"/>
      <c r="O31" s="5"/>
      <c r="P31" s="5"/>
      <c r="Q31" s="5"/>
      <c r="R31" s="5"/>
      <c r="S31" s="31" t="str">
        <f t="shared" si="5"/>
        <v/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5"/>
      <c r="AE31" s="5"/>
    </row>
    <row r="32" spans="1:31" s="1" customFormat="1" ht="10.199999999999999" x14ac:dyDescent="0.2">
      <c r="A32" s="5"/>
      <c r="B32" s="5"/>
      <c r="C32" s="5"/>
      <c r="D32" s="5"/>
      <c r="E32" s="5"/>
      <c r="F32" s="5" t="str">
        <f t="shared" si="6"/>
        <v/>
      </c>
      <c r="G32" s="5"/>
      <c r="H32" s="5"/>
      <c r="I32" s="5"/>
      <c r="J32" s="5" t="str">
        <f>IF($F32="","",INDEX(KPI!$I$11:$I$275,SUMIFS(KPI!$E$11:$E$275,KPI!$F$11:$F$275,$F32)))</f>
        <v/>
      </c>
      <c r="K32" s="5"/>
      <c r="L32" s="5" t="str">
        <f>IF($F32="","",структура!$J$22)</f>
        <v/>
      </c>
      <c r="M32" s="5" t="str">
        <f>IF($F32="","",структура!$M$22)</f>
        <v/>
      </c>
      <c r="N32" s="5"/>
      <c r="O32" s="5"/>
      <c r="P32" s="5"/>
      <c r="Q32" s="5"/>
      <c r="R32" s="5"/>
      <c r="S32" s="31" t="str">
        <f t="shared" si="5"/>
        <v/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5"/>
      <c r="AE32" s="5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10" t="str">
        <f>KPI!$F$15</f>
        <v>ежемесячное распределение начальных кап. затрат</v>
      </c>
      <c r="G34" s="3"/>
      <c r="H34" s="3"/>
      <c r="I34" s="3"/>
      <c r="J34" s="3"/>
      <c r="K34" s="3"/>
      <c r="L34" s="3"/>
      <c r="M34" s="34" t="str">
        <f>IF(F34="","",структура!$P$12)</f>
        <v>контроль</v>
      </c>
      <c r="N34" s="3"/>
      <c r="O34" s="3"/>
      <c r="P34" s="3"/>
      <c r="Q34" s="37">
        <f>SUM(S34:AD34)</f>
        <v>0</v>
      </c>
      <c r="R34" s="3"/>
      <c r="S34" s="3"/>
      <c r="T34" s="36">
        <f>T13-SUM(T35:T46)</f>
        <v>0</v>
      </c>
      <c r="U34" s="36">
        <f t="shared" ref="U34:AC34" si="7">U13-SUM(U35:U46)</f>
        <v>0</v>
      </c>
      <c r="V34" s="36">
        <f t="shared" si="7"/>
        <v>0</v>
      </c>
      <c r="W34" s="36">
        <f t="shared" si="7"/>
        <v>0</v>
      </c>
      <c r="X34" s="36">
        <f t="shared" si="7"/>
        <v>0</v>
      </c>
      <c r="Y34" s="36">
        <f t="shared" si="7"/>
        <v>0</v>
      </c>
      <c r="Z34" s="36">
        <f t="shared" si="7"/>
        <v>0</v>
      </c>
      <c r="AA34" s="36">
        <f t="shared" si="7"/>
        <v>0</v>
      </c>
      <c r="AB34" s="36">
        <f t="shared" si="7"/>
        <v>0</v>
      </c>
      <c r="AC34" s="36">
        <f t="shared" si="7"/>
        <v>0</v>
      </c>
      <c r="AD34" s="3"/>
      <c r="AE34" s="3"/>
    </row>
    <row r="35" spans="1:31" s="1" customFormat="1" ht="10.199999999999999" x14ac:dyDescent="0.2">
      <c r="A35" s="5"/>
      <c r="B35" s="5"/>
      <c r="C35" s="5"/>
      <c r="D35" s="5"/>
      <c r="E35" s="5"/>
      <c r="F35" s="5" t="str">
        <f>$F$34</f>
        <v>ежемесячное распределение начальных кап. затрат</v>
      </c>
      <c r="G35" s="5"/>
      <c r="H35" s="5"/>
      <c r="I35" s="5"/>
      <c r="J35" s="5" t="str">
        <f>IF($F35="","",INDEX(KPI!$I$11:$I$275,SUMIFS(KPI!$E$11:$E$275,KPI!$F$11:$F$275,$F35)))</f>
        <v>тыс.руб.</v>
      </c>
      <c r="K35" s="5"/>
      <c r="L35" s="5">
        <f>IF($F35="","",структура!$J$11)</f>
        <v>1</v>
      </c>
      <c r="M35" s="5" t="str">
        <f>IF($F35="","",структура!$M$11)</f>
        <v>янв</v>
      </c>
      <c r="N35" s="5"/>
      <c r="O35" s="5"/>
      <c r="P35" s="5"/>
      <c r="Q35" s="5"/>
      <c r="R35" s="5"/>
      <c r="S35" s="5"/>
      <c r="T35" s="7">
        <f>IF($M$15=структура!$G$11,T$13/12,IF($M$15=структура!$G$12,IF(OR($L35&lt;T$17,$L35&gt;T$18),0,T$13/(T$18-T$17+1)),IF($M$15=структура!$G$13,IF(T21="",0,T21*T$13),0)))</f>
        <v>0</v>
      </c>
      <c r="U35" s="7">
        <f>IF($M$15=структура!$G$11,U$13/12,IF($M$15=структура!$G$12,IF(OR($L35&lt;U$17,$L35&gt;U$18),0,U$13/(U$18-U$17+1)),IF($M$15=структура!$G$13,IF(U21="",0,U21*U$13),0)))</f>
        <v>0</v>
      </c>
      <c r="V35" s="7">
        <f>IF($M$15=структура!$G$11,V$13/12,IF($M$15=структура!$G$12,IF(OR($L35&lt;V$17,$L35&gt;V$18),0,V$13/(V$18-V$17+1)),IF($M$15=структура!$G$13,IF(V21="",0,V21*V$13),0)))</f>
        <v>0</v>
      </c>
      <c r="W35" s="7">
        <f>IF($M$15=структура!$G$11,W$13/12,IF($M$15=структура!$G$12,IF(OR($L35&lt;W$17,$L35&gt;W$18),0,W$13/(W$18-W$17+1)),IF($M$15=структура!$G$13,IF(W21="",0,W21*W$13),0)))</f>
        <v>0</v>
      </c>
      <c r="X35" s="7">
        <f>IF($M$15=структура!$G$11,X$13/12,IF($M$15=структура!$G$12,IF(OR($L35&lt;X$17,$L35&gt;X$18),0,X$13/(X$18-X$17+1)),IF($M$15=структура!$G$13,IF(X21="",0,X21*X$13),0)))</f>
        <v>0</v>
      </c>
      <c r="Y35" s="7">
        <f>IF($M$15=структура!$G$11,Y$13/12,IF($M$15=структура!$G$12,IF(OR($L35&lt;Y$17,$L35&gt;Y$18),0,Y$13/(Y$18-Y$17+1)),IF($M$15=структура!$G$13,IF(Y21="",0,Y21*Y$13),0)))</f>
        <v>0</v>
      </c>
      <c r="Z35" s="7">
        <f>IF($M$15=структура!$G$11,Z$13/12,IF($M$15=структура!$G$12,IF(OR($L35&lt;Z$17,$L35&gt;Z$18),0,Z$13/(Z$18-Z$17+1)),IF($M$15=структура!$G$13,IF(Z21="",0,Z21*Z$13),0)))</f>
        <v>0</v>
      </c>
      <c r="AA35" s="7">
        <f>IF($M$15=структура!$G$11,AA$13/12,IF($M$15=структура!$G$12,IF(OR($L35&lt;AA$17,$L35&gt;AA$18),0,AA$13/(AA$18-AA$17+1)),IF($M$15=структура!$G$13,IF(AA21="",0,AA21*AA$13),0)))</f>
        <v>0</v>
      </c>
      <c r="AB35" s="7">
        <f>IF($M$15=структура!$G$11,AB$13/12,IF($M$15=структура!$G$12,IF(OR($L35&lt;AB$17,$L35&gt;AB$18),0,AB$13/(AB$18-AB$17+1)),IF($M$15=структура!$G$13,IF(AB21="",0,AB21*AB$13),0)))</f>
        <v>0</v>
      </c>
      <c r="AC35" s="7">
        <f>IF($M$15=структура!$G$11,AC$13/12,IF($M$15=структура!$G$12,IF(OR($L35&lt;AC$17,$L35&gt;AC$18),0,AC$13/(AC$18-AC$17+1)),IF($M$15=структура!$G$13,IF(AC21="",0,AC21*AC$13),0)))</f>
        <v>0</v>
      </c>
      <c r="AD35" s="5"/>
      <c r="AE35" s="5"/>
    </row>
    <row r="36" spans="1:31" s="1" customFormat="1" ht="10.199999999999999" x14ac:dyDescent="0.2">
      <c r="A36" s="5"/>
      <c r="B36" s="5"/>
      <c r="C36" s="5"/>
      <c r="D36" s="5"/>
      <c r="E36" s="5"/>
      <c r="F36" s="5" t="str">
        <f t="shared" ref="F36:F46" si="8">$F$34</f>
        <v>ежемесячное распределение начальных кап. затрат</v>
      </c>
      <c r="G36" s="5"/>
      <c r="H36" s="5"/>
      <c r="I36" s="5"/>
      <c r="J36" s="5" t="str">
        <f>IF($F36="","",INDEX(KPI!$I$11:$I$275,SUMIFS(KPI!$E$11:$E$275,KPI!$F$11:$F$275,$F36)))</f>
        <v>тыс.руб.</v>
      </c>
      <c r="K36" s="5"/>
      <c r="L36" s="5">
        <f>IF($F36="","",структура!$J$12)</f>
        <v>2</v>
      </c>
      <c r="M36" s="5" t="str">
        <f>IF($F36="","",структура!$M$12)</f>
        <v>фев</v>
      </c>
      <c r="N36" s="5"/>
      <c r="O36" s="5"/>
      <c r="P36" s="5"/>
      <c r="Q36" s="5"/>
      <c r="R36" s="5"/>
      <c r="S36" s="5"/>
      <c r="T36" s="7">
        <f>IF($M$15=структура!$G$11,T$13/12,IF($M$15=структура!$G$12,IF(OR($L36&lt;T$17,$L36&gt;T$18),0,T$13/(T$18-T$17+1)),IF($M$15=структура!$G$13,IF(T22="",0,T22*T$13),0)))</f>
        <v>17500</v>
      </c>
      <c r="U36" s="7">
        <f>IF($M$15=структура!$G$11,U$13/12,IF($M$15=структура!$G$12,IF(OR($L36&lt;U$17,$L36&gt;U$18),0,U$13/(U$18-U$17+1)),IF($M$15=структура!$G$13,IF(U22="",0,U22*U$13),0)))</f>
        <v>0</v>
      </c>
      <c r="V36" s="7">
        <f>IF($M$15=структура!$G$11,V$13/12,IF($M$15=структура!$G$12,IF(OR($L36&lt;V$17,$L36&gt;V$18),0,V$13/(V$18-V$17+1)),IF($M$15=структура!$G$13,IF(V22="",0,V22*V$13),0)))</f>
        <v>0</v>
      </c>
      <c r="W36" s="7">
        <f>IF($M$15=структура!$G$11,W$13/12,IF($M$15=структура!$G$12,IF(OR($L36&lt;W$17,$L36&gt;W$18),0,W$13/(W$18-W$17+1)),IF($M$15=структура!$G$13,IF(W22="",0,W22*W$13),0)))</f>
        <v>0</v>
      </c>
      <c r="X36" s="7">
        <f>IF($M$15=структура!$G$11,X$13/12,IF($M$15=структура!$G$12,IF(OR($L36&lt;X$17,$L36&gt;X$18),0,X$13/(X$18-X$17+1)),IF($M$15=структура!$G$13,IF(X22="",0,X22*X$13),0)))</f>
        <v>0</v>
      </c>
      <c r="Y36" s="7">
        <f>IF($M$15=структура!$G$11,Y$13/12,IF($M$15=структура!$G$12,IF(OR($L36&lt;Y$17,$L36&gt;Y$18),0,Y$13/(Y$18-Y$17+1)),IF($M$15=структура!$G$13,IF(Y22="",0,Y22*Y$13),0)))</f>
        <v>0</v>
      </c>
      <c r="Z36" s="7">
        <f>IF($M$15=структура!$G$11,Z$13/12,IF($M$15=структура!$G$12,IF(OR($L36&lt;Z$17,$L36&gt;Z$18),0,Z$13/(Z$18-Z$17+1)),IF($M$15=структура!$G$13,IF(Z22="",0,Z22*Z$13),0)))</f>
        <v>0</v>
      </c>
      <c r="AA36" s="7">
        <f>IF($M$15=структура!$G$11,AA$13/12,IF($M$15=структура!$G$12,IF(OR($L36&lt;AA$17,$L36&gt;AA$18),0,AA$13/(AA$18-AA$17+1)),IF($M$15=структура!$G$13,IF(AA22="",0,AA22*AA$13),0)))</f>
        <v>0</v>
      </c>
      <c r="AB36" s="7">
        <f>IF($M$15=структура!$G$11,AB$13/12,IF($M$15=структура!$G$12,IF(OR($L36&lt;AB$17,$L36&gt;AB$18),0,AB$13/(AB$18-AB$17+1)),IF($M$15=структура!$G$13,IF(AB22="",0,AB22*AB$13),0)))</f>
        <v>0</v>
      </c>
      <c r="AC36" s="7">
        <f>IF($M$15=структура!$G$11,AC$13/12,IF($M$15=структура!$G$12,IF(OR($L36&lt;AC$17,$L36&gt;AC$18),0,AC$13/(AC$18-AC$17+1)),IF($M$15=структура!$G$13,IF(AC22="",0,AC22*AC$13),0)))</f>
        <v>0</v>
      </c>
      <c r="AD36" s="5"/>
      <c r="AE36" s="5"/>
    </row>
    <row r="37" spans="1:31" s="1" customFormat="1" ht="10.199999999999999" x14ac:dyDescent="0.2">
      <c r="A37" s="5"/>
      <c r="B37" s="5"/>
      <c r="C37" s="5"/>
      <c r="D37" s="5"/>
      <c r="E37" s="5"/>
      <c r="F37" s="5" t="str">
        <f t="shared" si="8"/>
        <v>ежемесячное распределение начальных кап. затрат</v>
      </c>
      <c r="G37" s="5"/>
      <c r="H37" s="5"/>
      <c r="I37" s="5"/>
      <c r="J37" s="5" t="str">
        <f>IF($F37="","",INDEX(KPI!$I$11:$I$275,SUMIFS(KPI!$E$11:$E$275,KPI!$F$11:$F$275,$F37)))</f>
        <v>тыс.руб.</v>
      </c>
      <c r="K37" s="5"/>
      <c r="L37" s="5">
        <f>IF($F37="","",структура!$J$13)</f>
        <v>3</v>
      </c>
      <c r="M37" s="5" t="str">
        <f>IF($F37="","",структура!$M$13)</f>
        <v>мар</v>
      </c>
      <c r="N37" s="5"/>
      <c r="O37" s="5"/>
      <c r="P37" s="5"/>
      <c r="Q37" s="5"/>
      <c r="R37" s="5"/>
      <c r="S37" s="5"/>
      <c r="T37" s="7">
        <f>IF($M$15=структура!$G$11,T$13/12,IF($M$15=структура!$G$12,IF(OR($L37&lt;T$17,$L37&gt;T$18),0,T$13/(T$18-T$17+1)),IF($M$15=структура!$G$13,IF(T23="",0,T23*T$13),0)))</f>
        <v>17500</v>
      </c>
      <c r="U37" s="7">
        <f>IF($M$15=структура!$G$11,U$13/12,IF($M$15=структура!$G$12,IF(OR($L37&lt;U$17,$L37&gt;U$18),0,U$13/(U$18-U$17+1)),IF($M$15=структура!$G$13,IF(U23="",0,U23*U$13),0)))</f>
        <v>0</v>
      </c>
      <c r="V37" s="7">
        <f>IF($M$15=структура!$G$11,V$13/12,IF($M$15=структура!$G$12,IF(OR($L37&lt;V$17,$L37&gt;V$18),0,V$13/(V$18-V$17+1)),IF($M$15=структура!$G$13,IF(V23="",0,V23*V$13),0)))</f>
        <v>0</v>
      </c>
      <c r="W37" s="7">
        <f>IF($M$15=структура!$G$11,W$13/12,IF($M$15=структура!$G$12,IF(OR($L37&lt;W$17,$L37&gt;W$18),0,W$13/(W$18-W$17+1)),IF($M$15=структура!$G$13,IF(W23="",0,W23*W$13),0)))</f>
        <v>0</v>
      </c>
      <c r="X37" s="7">
        <f>IF($M$15=структура!$G$11,X$13/12,IF($M$15=структура!$G$12,IF(OR($L37&lt;X$17,$L37&gt;X$18),0,X$13/(X$18-X$17+1)),IF($M$15=структура!$G$13,IF(X23="",0,X23*X$13),0)))</f>
        <v>0</v>
      </c>
      <c r="Y37" s="7">
        <f>IF($M$15=структура!$G$11,Y$13/12,IF($M$15=структура!$G$12,IF(OR($L37&lt;Y$17,$L37&gt;Y$18),0,Y$13/(Y$18-Y$17+1)),IF($M$15=структура!$G$13,IF(Y23="",0,Y23*Y$13),0)))</f>
        <v>0</v>
      </c>
      <c r="Z37" s="7">
        <f>IF($M$15=структура!$G$11,Z$13/12,IF($M$15=структура!$G$12,IF(OR($L37&lt;Z$17,$L37&gt;Z$18),0,Z$13/(Z$18-Z$17+1)),IF($M$15=структура!$G$13,IF(Z23="",0,Z23*Z$13),0)))</f>
        <v>0</v>
      </c>
      <c r="AA37" s="7">
        <f>IF($M$15=структура!$G$11,AA$13/12,IF($M$15=структура!$G$12,IF(OR($L37&lt;AA$17,$L37&gt;AA$18),0,AA$13/(AA$18-AA$17+1)),IF($M$15=структура!$G$13,IF(AA23="",0,AA23*AA$13),0)))</f>
        <v>0</v>
      </c>
      <c r="AB37" s="7">
        <f>IF($M$15=структура!$G$11,AB$13/12,IF($M$15=структура!$G$12,IF(OR($L37&lt;AB$17,$L37&gt;AB$18),0,AB$13/(AB$18-AB$17+1)),IF($M$15=структура!$G$13,IF(AB23="",0,AB23*AB$13),0)))</f>
        <v>0</v>
      </c>
      <c r="AC37" s="7">
        <f>IF($M$15=структура!$G$11,AC$13/12,IF($M$15=структура!$G$12,IF(OR($L37&lt;AC$17,$L37&gt;AC$18),0,AC$13/(AC$18-AC$17+1)),IF($M$15=структура!$G$13,IF(AC23="",0,AC23*AC$13),0)))</f>
        <v>0</v>
      </c>
      <c r="AD37" s="5"/>
      <c r="AE37" s="5"/>
    </row>
    <row r="38" spans="1:31" s="1" customFormat="1" ht="10.199999999999999" x14ac:dyDescent="0.2">
      <c r="A38" s="5"/>
      <c r="B38" s="5"/>
      <c r="C38" s="5"/>
      <c r="D38" s="5"/>
      <c r="E38" s="5"/>
      <c r="F38" s="5" t="str">
        <f t="shared" si="8"/>
        <v>ежемесячное распределение начальных кап. затрат</v>
      </c>
      <c r="G38" s="5"/>
      <c r="H38" s="5"/>
      <c r="I38" s="5"/>
      <c r="J38" s="5" t="str">
        <f>IF($F38="","",INDEX(KPI!$I$11:$I$275,SUMIFS(KPI!$E$11:$E$275,KPI!$F$11:$F$275,$F38)))</f>
        <v>тыс.руб.</v>
      </c>
      <c r="K38" s="5"/>
      <c r="L38" s="5">
        <f>IF($F38="","",структура!$J$14)</f>
        <v>4</v>
      </c>
      <c r="M38" s="5" t="str">
        <f>IF($F38="","",структура!$M$14)</f>
        <v>апр</v>
      </c>
      <c r="N38" s="5"/>
      <c r="O38" s="5"/>
      <c r="P38" s="5"/>
      <c r="Q38" s="5"/>
      <c r="R38" s="5"/>
      <c r="S38" s="5"/>
      <c r="T38" s="7">
        <f>IF($M$15=структура!$G$11,T$13/12,IF($M$15=структура!$G$12,IF(OR($L38&lt;T$17,$L38&gt;T$18),0,T$13/(T$18-T$17+1)),IF($M$15=структура!$G$13,IF(T24="",0,T24*T$13),0)))</f>
        <v>17500</v>
      </c>
      <c r="U38" s="7">
        <f>IF($M$15=структура!$G$11,U$13/12,IF($M$15=структура!$G$12,IF(OR($L38&lt;U$17,$L38&gt;U$18),0,U$13/(U$18-U$17+1)),IF($M$15=структура!$G$13,IF(U24="",0,U24*U$13),0)))</f>
        <v>0</v>
      </c>
      <c r="V38" s="7">
        <f>IF($M$15=структура!$G$11,V$13/12,IF($M$15=структура!$G$12,IF(OR($L38&lt;V$17,$L38&gt;V$18),0,V$13/(V$18-V$17+1)),IF($M$15=структура!$G$13,IF(V24="",0,V24*V$13),0)))</f>
        <v>0</v>
      </c>
      <c r="W38" s="7">
        <f>IF($M$15=структура!$G$11,W$13/12,IF($M$15=структура!$G$12,IF(OR($L38&lt;W$17,$L38&gt;W$18),0,W$13/(W$18-W$17+1)),IF($M$15=структура!$G$13,IF(W24="",0,W24*W$13),0)))</f>
        <v>0</v>
      </c>
      <c r="X38" s="7">
        <f>IF($M$15=структура!$G$11,X$13/12,IF($M$15=структура!$G$12,IF(OR($L38&lt;X$17,$L38&gt;X$18),0,X$13/(X$18-X$17+1)),IF($M$15=структура!$G$13,IF(X24="",0,X24*X$13),0)))</f>
        <v>0</v>
      </c>
      <c r="Y38" s="7">
        <f>IF($M$15=структура!$G$11,Y$13/12,IF($M$15=структура!$G$12,IF(OR($L38&lt;Y$17,$L38&gt;Y$18),0,Y$13/(Y$18-Y$17+1)),IF($M$15=структура!$G$13,IF(Y24="",0,Y24*Y$13),0)))</f>
        <v>0</v>
      </c>
      <c r="Z38" s="7">
        <f>IF($M$15=структура!$G$11,Z$13/12,IF($M$15=структура!$G$12,IF(OR($L38&lt;Z$17,$L38&gt;Z$18),0,Z$13/(Z$18-Z$17+1)),IF($M$15=структура!$G$13,IF(Z24="",0,Z24*Z$13),0)))</f>
        <v>0</v>
      </c>
      <c r="AA38" s="7">
        <f>IF($M$15=структура!$G$11,AA$13/12,IF($M$15=структура!$G$12,IF(OR($L38&lt;AA$17,$L38&gt;AA$18),0,AA$13/(AA$18-AA$17+1)),IF($M$15=структура!$G$13,IF(AA24="",0,AA24*AA$13),0)))</f>
        <v>0</v>
      </c>
      <c r="AB38" s="7">
        <f>IF($M$15=структура!$G$11,AB$13/12,IF($M$15=структура!$G$12,IF(OR($L38&lt;AB$17,$L38&gt;AB$18),0,AB$13/(AB$18-AB$17+1)),IF($M$15=структура!$G$13,IF(AB24="",0,AB24*AB$13),0)))</f>
        <v>0</v>
      </c>
      <c r="AC38" s="7">
        <f>IF($M$15=структура!$G$11,AC$13/12,IF($M$15=структура!$G$12,IF(OR($L38&lt;AC$17,$L38&gt;AC$18),0,AC$13/(AC$18-AC$17+1)),IF($M$15=структура!$G$13,IF(AC24="",0,AC24*AC$13),0)))</f>
        <v>0</v>
      </c>
      <c r="AD38" s="5"/>
      <c r="AE38" s="5"/>
    </row>
    <row r="39" spans="1:31" s="1" customFormat="1" ht="10.199999999999999" x14ac:dyDescent="0.2">
      <c r="A39" s="5"/>
      <c r="B39" s="5"/>
      <c r="C39" s="5"/>
      <c r="D39" s="5"/>
      <c r="E39" s="5"/>
      <c r="F39" s="5" t="str">
        <f t="shared" si="8"/>
        <v>ежемесячное распределение начальных кап. затрат</v>
      </c>
      <c r="G39" s="5"/>
      <c r="H39" s="5"/>
      <c r="I39" s="5"/>
      <c r="J39" s="5" t="str">
        <f>IF($F39="","",INDEX(KPI!$I$11:$I$275,SUMIFS(KPI!$E$11:$E$275,KPI!$F$11:$F$275,$F39)))</f>
        <v>тыс.руб.</v>
      </c>
      <c r="K39" s="5"/>
      <c r="L39" s="5">
        <f>IF($F39="","",структура!$J$15)</f>
        <v>5</v>
      </c>
      <c r="M39" s="5" t="str">
        <f>IF($F39="","",структура!$M$15)</f>
        <v>май</v>
      </c>
      <c r="N39" s="5"/>
      <c r="O39" s="5"/>
      <c r="P39" s="5"/>
      <c r="Q39" s="5"/>
      <c r="R39" s="5"/>
      <c r="S39" s="5"/>
      <c r="T39" s="7">
        <f>IF($M$15=структура!$G$11,T$13/12,IF($M$15=структура!$G$12,IF(OR($L39&lt;T$17,$L39&gt;T$18),0,T$13/(T$18-T$17+1)),IF($M$15=структура!$G$13,IF(T25="",0,T25*T$13),0)))</f>
        <v>17500</v>
      </c>
      <c r="U39" s="7">
        <f>IF($M$15=структура!$G$11,U$13/12,IF($M$15=структура!$G$12,IF(OR($L39&lt;U$17,$L39&gt;U$18),0,U$13/(U$18-U$17+1)),IF($M$15=структура!$G$13,IF(U25="",0,U25*U$13),0)))</f>
        <v>0</v>
      </c>
      <c r="V39" s="7">
        <f>IF($M$15=структура!$G$11,V$13/12,IF($M$15=структура!$G$12,IF(OR($L39&lt;V$17,$L39&gt;V$18),0,V$13/(V$18-V$17+1)),IF($M$15=структура!$G$13,IF(V25="",0,V25*V$13),0)))</f>
        <v>0</v>
      </c>
      <c r="W39" s="7">
        <f>IF($M$15=структура!$G$11,W$13/12,IF($M$15=структура!$G$12,IF(OR($L39&lt;W$17,$L39&gt;W$18),0,W$13/(W$18-W$17+1)),IF($M$15=структура!$G$13,IF(W25="",0,W25*W$13),0)))</f>
        <v>0</v>
      </c>
      <c r="X39" s="7">
        <f>IF($M$15=структура!$G$11,X$13/12,IF($M$15=структура!$G$12,IF(OR($L39&lt;X$17,$L39&gt;X$18),0,X$13/(X$18-X$17+1)),IF($M$15=структура!$G$13,IF(X25="",0,X25*X$13),0)))</f>
        <v>0</v>
      </c>
      <c r="Y39" s="7">
        <f>IF($M$15=структура!$G$11,Y$13/12,IF($M$15=структура!$G$12,IF(OR($L39&lt;Y$17,$L39&gt;Y$18),0,Y$13/(Y$18-Y$17+1)),IF($M$15=структура!$G$13,IF(Y25="",0,Y25*Y$13),0)))</f>
        <v>0</v>
      </c>
      <c r="Z39" s="7">
        <f>IF($M$15=структура!$G$11,Z$13/12,IF($M$15=структура!$G$12,IF(OR($L39&lt;Z$17,$L39&gt;Z$18),0,Z$13/(Z$18-Z$17+1)),IF($M$15=структура!$G$13,IF(Z25="",0,Z25*Z$13),0)))</f>
        <v>0</v>
      </c>
      <c r="AA39" s="7">
        <f>IF($M$15=структура!$G$11,AA$13/12,IF($M$15=структура!$G$12,IF(OR($L39&lt;AA$17,$L39&gt;AA$18),0,AA$13/(AA$18-AA$17+1)),IF($M$15=структура!$G$13,IF(AA25="",0,AA25*AA$13),0)))</f>
        <v>0</v>
      </c>
      <c r="AB39" s="7">
        <f>IF($M$15=структура!$G$11,AB$13/12,IF($M$15=структура!$G$12,IF(OR($L39&lt;AB$17,$L39&gt;AB$18),0,AB$13/(AB$18-AB$17+1)),IF($M$15=структура!$G$13,IF(AB25="",0,AB25*AB$13),0)))</f>
        <v>0</v>
      </c>
      <c r="AC39" s="7">
        <f>IF($M$15=структура!$G$11,AC$13/12,IF($M$15=структура!$G$12,IF(OR($L39&lt;AC$17,$L39&gt;AC$18),0,AC$13/(AC$18-AC$17+1)),IF($M$15=структура!$G$13,IF(AC25="",0,AC25*AC$13),0)))</f>
        <v>0</v>
      </c>
      <c r="AD39" s="5"/>
      <c r="AE39" s="5"/>
    </row>
    <row r="40" spans="1:31" s="1" customFormat="1" ht="10.199999999999999" x14ac:dyDescent="0.2">
      <c r="A40" s="5"/>
      <c r="B40" s="5"/>
      <c r="C40" s="5"/>
      <c r="D40" s="5"/>
      <c r="E40" s="5"/>
      <c r="F40" s="5" t="str">
        <f t="shared" si="8"/>
        <v>ежемесячное распределение начальных кап. затрат</v>
      </c>
      <c r="G40" s="5"/>
      <c r="H40" s="5"/>
      <c r="I40" s="5"/>
      <c r="J40" s="5" t="str">
        <f>IF($F40="","",INDEX(KPI!$I$11:$I$275,SUMIFS(KPI!$E$11:$E$275,KPI!$F$11:$F$275,$F40)))</f>
        <v>тыс.руб.</v>
      </c>
      <c r="K40" s="5"/>
      <c r="L40" s="5">
        <f>IF($F40="","",структура!$J$16)</f>
        <v>6</v>
      </c>
      <c r="M40" s="5" t="str">
        <f>IF($F40="","",структура!$M$16)</f>
        <v>июн</v>
      </c>
      <c r="N40" s="5"/>
      <c r="O40" s="5"/>
      <c r="P40" s="5"/>
      <c r="Q40" s="5"/>
      <c r="R40" s="5"/>
      <c r="S40" s="5"/>
      <c r="T40" s="7">
        <f>IF($M$15=структура!$G$11,T$13/12,IF($M$15=структура!$G$12,IF(OR($L40&lt;T$17,$L40&gt;T$18),0,T$13/(T$18-T$17+1)),IF($M$15=структура!$G$13,IF(T26="",0,T26*T$13),0)))</f>
        <v>0</v>
      </c>
      <c r="U40" s="7">
        <f>IF($M$15=структура!$G$11,U$13/12,IF($M$15=структура!$G$12,IF(OR($L40&lt;U$17,$L40&gt;U$18),0,U$13/(U$18-U$17+1)),IF($M$15=структура!$G$13,IF(U26="",0,U26*U$13),0)))</f>
        <v>0</v>
      </c>
      <c r="V40" s="7">
        <f>IF($M$15=структура!$G$11,V$13/12,IF($M$15=структура!$G$12,IF(OR($L40&lt;V$17,$L40&gt;V$18),0,V$13/(V$18-V$17+1)),IF($M$15=структура!$G$13,IF(V26="",0,V26*V$13),0)))</f>
        <v>0</v>
      </c>
      <c r="W40" s="7">
        <f>IF($M$15=структура!$G$11,W$13/12,IF($M$15=структура!$G$12,IF(OR($L40&lt;W$17,$L40&gt;W$18),0,W$13/(W$18-W$17+1)),IF($M$15=структура!$G$13,IF(W26="",0,W26*W$13),0)))</f>
        <v>0</v>
      </c>
      <c r="X40" s="7">
        <f>IF($M$15=структура!$G$11,X$13/12,IF($M$15=структура!$G$12,IF(OR($L40&lt;X$17,$L40&gt;X$18),0,X$13/(X$18-X$17+1)),IF($M$15=структура!$G$13,IF(X26="",0,X26*X$13),0)))</f>
        <v>0</v>
      </c>
      <c r="Y40" s="7">
        <f>IF($M$15=структура!$G$11,Y$13/12,IF($M$15=структура!$G$12,IF(OR($L40&lt;Y$17,$L40&gt;Y$18),0,Y$13/(Y$18-Y$17+1)),IF($M$15=структура!$G$13,IF(Y26="",0,Y26*Y$13),0)))</f>
        <v>0</v>
      </c>
      <c r="Z40" s="7">
        <f>IF($M$15=структура!$G$11,Z$13/12,IF($M$15=структура!$G$12,IF(OR($L40&lt;Z$17,$L40&gt;Z$18),0,Z$13/(Z$18-Z$17+1)),IF($M$15=структура!$G$13,IF(Z26="",0,Z26*Z$13),0)))</f>
        <v>0</v>
      </c>
      <c r="AA40" s="7">
        <f>IF($M$15=структура!$G$11,AA$13/12,IF($M$15=структура!$G$12,IF(OR($L40&lt;AA$17,$L40&gt;AA$18),0,AA$13/(AA$18-AA$17+1)),IF($M$15=структура!$G$13,IF(AA26="",0,AA26*AA$13),0)))</f>
        <v>0</v>
      </c>
      <c r="AB40" s="7">
        <f>IF($M$15=структура!$G$11,AB$13/12,IF($M$15=структура!$G$12,IF(OR($L40&lt;AB$17,$L40&gt;AB$18),0,AB$13/(AB$18-AB$17+1)),IF($M$15=структура!$G$13,IF(AB26="",0,AB26*AB$13),0)))</f>
        <v>0</v>
      </c>
      <c r="AC40" s="7">
        <f>IF($M$15=структура!$G$11,AC$13/12,IF($M$15=структура!$G$12,IF(OR($L40&lt;AC$17,$L40&gt;AC$18),0,AC$13/(AC$18-AC$17+1)),IF($M$15=структура!$G$13,IF(AC26="",0,AC26*AC$13),0)))</f>
        <v>0</v>
      </c>
      <c r="AD40" s="5"/>
      <c r="AE40" s="5"/>
    </row>
    <row r="41" spans="1:31" s="1" customFormat="1" ht="10.199999999999999" x14ac:dyDescent="0.2">
      <c r="A41" s="5"/>
      <c r="B41" s="5"/>
      <c r="C41" s="5"/>
      <c r="D41" s="5"/>
      <c r="E41" s="5"/>
      <c r="F41" s="5" t="str">
        <f t="shared" si="8"/>
        <v>ежемесячное распределение начальных кап. затрат</v>
      </c>
      <c r="G41" s="5"/>
      <c r="H41" s="5"/>
      <c r="I41" s="5"/>
      <c r="J41" s="5" t="str">
        <f>IF($F41="","",INDEX(KPI!$I$11:$I$275,SUMIFS(KPI!$E$11:$E$275,KPI!$F$11:$F$275,$F41)))</f>
        <v>тыс.руб.</v>
      </c>
      <c r="K41" s="5"/>
      <c r="L41" s="5">
        <f>IF($F41="","",структура!$J$17)</f>
        <v>7</v>
      </c>
      <c r="M41" s="5" t="str">
        <f>IF($F41="","",структура!$M$17)</f>
        <v>июл</v>
      </c>
      <c r="N41" s="5"/>
      <c r="O41" s="5"/>
      <c r="P41" s="5"/>
      <c r="Q41" s="5"/>
      <c r="R41" s="5"/>
      <c r="S41" s="5"/>
      <c r="T41" s="7">
        <f>IF($M$15=структура!$G$11,T$13/12,IF($M$15=структура!$G$12,IF(OR($L41&lt;T$17,$L41&gt;T$18),0,T$13/(T$18-T$17+1)),IF($M$15=структура!$G$13,IF(T27="",0,T27*T$13),0)))</f>
        <v>0</v>
      </c>
      <c r="U41" s="7">
        <f>IF($M$15=структура!$G$11,U$13/12,IF($M$15=структура!$G$12,IF(OR($L41&lt;U$17,$L41&gt;U$18),0,U$13/(U$18-U$17+1)),IF($M$15=структура!$G$13,IF(U27="",0,U27*U$13),0)))</f>
        <v>0</v>
      </c>
      <c r="V41" s="7">
        <f>IF($M$15=структура!$G$11,V$13/12,IF($M$15=структура!$G$12,IF(OR($L41&lt;V$17,$L41&gt;V$18),0,V$13/(V$18-V$17+1)),IF($M$15=структура!$G$13,IF(V27="",0,V27*V$13),0)))</f>
        <v>0</v>
      </c>
      <c r="W41" s="7">
        <f>IF($M$15=структура!$G$11,W$13/12,IF($M$15=структура!$G$12,IF(OR($L41&lt;W$17,$L41&gt;W$18),0,W$13/(W$18-W$17+1)),IF($M$15=структура!$G$13,IF(W27="",0,W27*W$13),0)))</f>
        <v>0</v>
      </c>
      <c r="X41" s="7">
        <f>IF($M$15=структура!$G$11,X$13/12,IF($M$15=структура!$G$12,IF(OR($L41&lt;X$17,$L41&gt;X$18),0,X$13/(X$18-X$17+1)),IF($M$15=структура!$G$13,IF(X27="",0,X27*X$13),0)))</f>
        <v>0</v>
      </c>
      <c r="Y41" s="7">
        <f>IF($M$15=структура!$G$11,Y$13/12,IF($M$15=структура!$G$12,IF(OR($L41&lt;Y$17,$L41&gt;Y$18),0,Y$13/(Y$18-Y$17+1)),IF($M$15=структура!$G$13,IF(Y27="",0,Y27*Y$13),0)))</f>
        <v>0</v>
      </c>
      <c r="Z41" s="7">
        <f>IF($M$15=структура!$G$11,Z$13/12,IF($M$15=структура!$G$12,IF(OR($L41&lt;Z$17,$L41&gt;Z$18),0,Z$13/(Z$18-Z$17+1)),IF($M$15=структура!$G$13,IF(Z27="",0,Z27*Z$13),0)))</f>
        <v>0</v>
      </c>
      <c r="AA41" s="7">
        <f>IF($M$15=структура!$G$11,AA$13/12,IF($M$15=структура!$G$12,IF(OR($L41&lt;AA$17,$L41&gt;AA$18),0,AA$13/(AA$18-AA$17+1)),IF($M$15=структура!$G$13,IF(AA27="",0,AA27*AA$13),0)))</f>
        <v>0</v>
      </c>
      <c r="AB41" s="7">
        <f>IF($M$15=структура!$G$11,AB$13/12,IF($M$15=структура!$G$12,IF(OR($L41&lt;AB$17,$L41&gt;AB$18),0,AB$13/(AB$18-AB$17+1)),IF($M$15=структура!$G$13,IF(AB27="",0,AB27*AB$13),0)))</f>
        <v>0</v>
      </c>
      <c r="AC41" s="7">
        <f>IF($M$15=структура!$G$11,AC$13/12,IF($M$15=структура!$G$12,IF(OR($L41&lt;AC$17,$L41&gt;AC$18),0,AC$13/(AC$18-AC$17+1)),IF($M$15=структура!$G$13,IF(AC27="",0,AC27*AC$13),0)))</f>
        <v>0</v>
      </c>
      <c r="AD41" s="5"/>
      <c r="AE41" s="5"/>
    </row>
    <row r="42" spans="1:31" s="1" customFormat="1" ht="10.199999999999999" x14ac:dyDescent="0.2">
      <c r="A42" s="5"/>
      <c r="B42" s="5"/>
      <c r="C42" s="5"/>
      <c r="D42" s="5"/>
      <c r="E42" s="5"/>
      <c r="F42" s="5" t="str">
        <f t="shared" si="8"/>
        <v>ежемесячное распределение начальных кап. затрат</v>
      </c>
      <c r="G42" s="5"/>
      <c r="H42" s="5"/>
      <c r="I42" s="5"/>
      <c r="J42" s="5" t="str">
        <f>IF($F42="","",INDEX(KPI!$I$11:$I$275,SUMIFS(KPI!$E$11:$E$275,KPI!$F$11:$F$275,$F42)))</f>
        <v>тыс.руб.</v>
      </c>
      <c r="K42" s="5"/>
      <c r="L42" s="5">
        <f>IF($F42="","",структура!$J$18)</f>
        <v>8</v>
      </c>
      <c r="M42" s="5" t="str">
        <f>IF($F42="","",структура!$M$18)</f>
        <v>авг</v>
      </c>
      <c r="N42" s="5"/>
      <c r="O42" s="5"/>
      <c r="P42" s="5"/>
      <c r="Q42" s="5"/>
      <c r="R42" s="5"/>
      <c r="S42" s="5"/>
      <c r="T42" s="7">
        <f>IF($M$15=структура!$G$11,T$13/12,IF($M$15=структура!$G$12,IF(OR($L42&lt;T$17,$L42&gt;T$18),0,T$13/(T$18-T$17+1)),IF($M$15=структура!$G$13,IF(T28="",0,T28*T$13),0)))</f>
        <v>0</v>
      </c>
      <c r="U42" s="7">
        <f>IF($M$15=структура!$G$11,U$13/12,IF($M$15=структура!$G$12,IF(OR($L42&lt;U$17,$L42&gt;U$18),0,U$13/(U$18-U$17+1)),IF($M$15=структура!$G$13,IF(U28="",0,U28*U$13),0)))</f>
        <v>0</v>
      </c>
      <c r="V42" s="7">
        <f>IF($M$15=структура!$G$11,V$13/12,IF($M$15=структура!$G$12,IF(OR($L42&lt;V$17,$L42&gt;V$18),0,V$13/(V$18-V$17+1)),IF($M$15=структура!$G$13,IF(V28="",0,V28*V$13),0)))</f>
        <v>0</v>
      </c>
      <c r="W42" s="7">
        <f>IF($M$15=структура!$G$11,W$13/12,IF($M$15=структура!$G$12,IF(OR($L42&lt;W$17,$L42&gt;W$18),0,W$13/(W$18-W$17+1)),IF($M$15=структура!$G$13,IF(W28="",0,W28*W$13),0)))</f>
        <v>0</v>
      </c>
      <c r="X42" s="7">
        <f>IF($M$15=структура!$G$11,X$13/12,IF($M$15=структура!$G$12,IF(OR($L42&lt;X$17,$L42&gt;X$18),0,X$13/(X$18-X$17+1)),IF($M$15=структура!$G$13,IF(X28="",0,X28*X$13),0)))</f>
        <v>0</v>
      </c>
      <c r="Y42" s="7">
        <f>IF($M$15=структура!$G$11,Y$13/12,IF($M$15=структура!$G$12,IF(OR($L42&lt;Y$17,$L42&gt;Y$18),0,Y$13/(Y$18-Y$17+1)),IF($M$15=структура!$G$13,IF(Y28="",0,Y28*Y$13),0)))</f>
        <v>0</v>
      </c>
      <c r="Z42" s="7">
        <f>IF($M$15=структура!$G$11,Z$13/12,IF($M$15=структура!$G$12,IF(OR($L42&lt;Z$17,$L42&gt;Z$18),0,Z$13/(Z$18-Z$17+1)),IF($M$15=структура!$G$13,IF(Z28="",0,Z28*Z$13),0)))</f>
        <v>0</v>
      </c>
      <c r="AA42" s="7">
        <f>IF($M$15=структура!$G$11,AA$13/12,IF($M$15=структура!$G$12,IF(OR($L42&lt;AA$17,$L42&gt;AA$18),0,AA$13/(AA$18-AA$17+1)),IF($M$15=структура!$G$13,IF(AA28="",0,AA28*AA$13),0)))</f>
        <v>0</v>
      </c>
      <c r="AB42" s="7">
        <f>IF($M$15=структура!$G$11,AB$13/12,IF($M$15=структура!$G$12,IF(OR($L42&lt;AB$17,$L42&gt;AB$18),0,AB$13/(AB$18-AB$17+1)),IF($M$15=структура!$G$13,IF(AB28="",0,AB28*AB$13),0)))</f>
        <v>0</v>
      </c>
      <c r="AC42" s="7">
        <f>IF($M$15=структура!$G$11,AC$13/12,IF($M$15=структура!$G$12,IF(OR($L42&lt;AC$17,$L42&gt;AC$18),0,AC$13/(AC$18-AC$17+1)),IF($M$15=структура!$G$13,IF(AC28="",0,AC28*AC$13),0)))</f>
        <v>0</v>
      </c>
      <c r="AD42" s="5"/>
      <c r="AE42" s="5"/>
    </row>
    <row r="43" spans="1:31" s="1" customFormat="1" ht="10.199999999999999" x14ac:dyDescent="0.2">
      <c r="A43" s="5"/>
      <c r="B43" s="5"/>
      <c r="C43" s="5"/>
      <c r="D43" s="5"/>
      <c r="E43" s="5"/>
      <c r="F43" s="5" t="str">
        <f t="shared" si="8"/>
        <v>ежемесячное распределение начальных кап. затрат</v>
      </c>
      <c r="G43" s="5"/>
      <c r="H43" s="5"/>
      <c r="I43" s="5"/>
      <c r="J43" s="5" t="str">
        <f>IF($F43="","",INDEX(KPI!$I$11:$I$275,SUMIFS(KPI!$E$11:$E$275,KPI!$F$11:$F$275,$F43)))</f>
        <v>тыс.руб.</v>
      </c>
      <c r="K43" s="5"/>
      <c r="L43" s="5">
        <f>IF($F43="","",структура!$J$19)</f>
        <v>9</v>
      </c>
      <c r="M43" s="5" t="str">
        <f>IF($F43="","",структура!$M$19)</f>
        <v>сен</v>
      </c>
      <c r="N43" s="5"/>
      <c r="O43" s="5"/>
      <c r="P43" s="5"/>
      <c r="Q43" s="5"/>
      <c r="R43" s="5"/>
      <c r="S43" s="5"/>
      <c r="T43" s="7">
        <f>IF($M$15=структура!$G$11,T$13/12,IF($M$15=структура!$G$12,IF(OR($L43&lt;T$17,$L43&gt;T$18),0,T$13/(T$18-T$17+1)),IF($M$15=структура!$G$13,IF(T29="",0,T29*T$13),0)))</f>
        <v>0</v>
      </c>
      <c r="U43" s="7">
        <f>IF($M$15=структура!$G$11,U$13/12,IF($M$15=структура!$G$12,IF(OR($L43&lt;U$17,$L43&gt;U$18),0,U$13/(U$18-U$17+1)),IF($M$15=структура!$G$13,IF(U29="",0,U29*U$13),0)))</f>
        <v>0</v>
      </c>
      <c r="V43" s="7">
        <f>IF($M$15=структура!$G$11,V$13/12,IF($M$15=структура!$G$12,IF(OR($L43&lt;V$17,$L43&gt;V$18),0,V$13/(V$18-V$17+1)),IF($M$15=структура!$G$13,IF(V29="",0,V29*V$13),0)))</f>
        <v>0</v>
      </c>
      <c r="W43" s="7">
        <f>IF($M$15=структура!$G$11,W$13/12,IF($M$15=структура!$G$12,IF(OR($L43&lt;W$17,$L43&gt;W$18),0,W$13/(W$18-W$17+1)),IF($M$15=структура!$G$13,IF(W29="",0,W29*W$13),0)))</f>
        <v>0</v>
      </c>
      <c r="X43" s="7">
        <f>IF($M$15=структура!$G$11,X$13/12,IF($M$15=структура!$G$12,IF(OR($L43&lt;X$17,$L43&gt;X$18),0,X$13/(X$18-X$17+1)),IF($M$15=структура!$G$13,IF(X29="",0,X29*X$13),0)))</f>
        <v>0</v>
      </c>
      <c r="Y43" s="7">
        <f>IF($M$15=структура!$G$11,Y$13/12,IF($M$15=структура!$G$12,IF(OR($L43&lt;Y$17,$L43&gt;Y$18),0,Y$13/(Y$18-Y$17+1)),IF($M$15=структура!$G$13,IF(Y29="",0,Y29*Y$13),0)))</f>
        <v>0</v>
      </c>
      <c r="Z43" s="7">
        <f>IF($M$15=структура!$G$11,Z$13/12,IF($M$15=структура!$G$12,IF(OR($L43&lt;Z$17,$L43&gt;Z$18),0,Z$13/(Z$18-Z$17+1)),IF($M$15=структура!$G$13,IF(Z29="",0,Z29*Z$13),0)))</f>
        <v>0</v>
      </c>
      <c r="AA43" s="7">
        <f>IF($M$15=структура!$G$11,AA$13/12,IF($M$15=структура!$G$12,IF(OR($L43&lt;AA$17,$L43&gt;AA$18),0,AA$13/(AA$18-AA$17+1)),IF($M$15=структура!$G$13,IF(AA29="",0,AA29*AA$13),0)))</f>
        <v>0</v>
      </c>
      <c r="AB43" s="7">
        <f>IF($M$15=структура!$G$11,AB$13/12,IF($M$15=структура!$G$12,IF(OR($L43&lt;AB$17,$L43&gt;AB$18),0,AB$13/(AB$18-AB$17+1)),IF($M$15=структура!$G$13,IF(AB29="",0,AB29*AB$13),0)))</f>
        <v>0</v>
      </c>
      <c r="AC43" s="7">
        <f>IF($M$15=структура!$G$11,AC$13/12,IF($M$15=структура!$G$12,IF(OR($L43&lt;AC$17,$L43&gt;AC$18),0,AC$13/(AC$18-AC$17+1)),IF($M$15=структура!$G$13,IF(AC29="",0,AC29*AC$13),0)))</f>
        <v>0</v>
      </c>
      <c r="AD43" s="5"/>
      <c r="AE43" s="5"/>
    </row>
    <row r="44" spans="1:31" s="1" customFormat="1" ht="10.199999999999999" x14ac:dyDescent="0.2">
      <c r="A44" s="5"/>
      <c r="B44" s="5"/>
      <c r="C44" s="5"/>
      <c r="D44" s="5"/>
      <c r="E44" s="5"/>
      <c r="F44" s="5" t="str">
        <f t="shared" si="8"/>
        <v>ежемесячное распределение начальных кап. затрат</v>
      </c>
      <c r="G44" s="5"/>
      <c r="H44" s="5"/>
      <c r="I44" s="5"/>
      <c r="J44" s="5" t="str">
        <f>IF($F44="","",INDEX(KPI!$I$11:$I$275,SUMIFS(KPI!$E$11:$E$275,KPI!$F$11:$F$275,$F44)))</f>
        <v>тыс.руб.</v>
      </c>
      <c r="K44" s="5"/>
      <c r="L44" s="5">
        <f>IF($F44="","",структура!$J$20)</f>
        <v>10</v>
      </c>
      <c r="M44" s="5" t="str">
        <f>IF($F44="","",структура!$M$20)</f>
        <v>окт</v>
      </c>
      <c r="N44" s="5"/>
      <c r="O44" s="5"/>
      <c r="P44" s="5"/>
      <c r="Q44" s="5"/>
      <c r="R44" s="5"/>
      <c r="S44" s="5"/>
      <c r="T44" s="7">
        <f>IF($M$15=структура!$G$11,T$13/12,IF($M$15=структура!$G$12,IF(OR($L44&lt;T$17,$L44&gt;T$18),0,T$13/(T$18-T$17+1)),IF($M$15=структура!$G$13,IF(T30="",0,T30*T$13),0)))</f>
        <v>0</v>
      </c>
      <c r="U44" s="7">
        <f>IF($M$15=структура!$G$11,U$13/12,IF($M$15=структура!$G$12,IF(OR($L44&lt;U$17,$L44&gt;U$18),0,U$13/(U$18-U$17+1)),IF($M$15=структура!$G$13,IF(U30="",0,U30*U$13),0)))</f>
        <v>0</v>
      </c>
      <c r="V44" s="7">
        <f>IF($M$15=структура!$G$11,V$13/12,IF($M$15=структура!$G$12,IF(OR($L44&lt;V$17,$L44&gt;V$18),0,V$13/(V$18-V$17+1)),IF($M$15=структура!$G$13,IF(V30="",0,V30*V$13),0)))</f>
        <v>0</v>
      </c>
      <c r="W44" s="7">
        <f>IF($M$15=структура!$G$11,W$13/12,IF($M$15=структура!$G$12,IF(OR($L44&lt;W$17,$L44&gt;W$18),0,W$13/(W$18-W$17+1)),IF($M$15=структура!$G$13,IF(W30="",0,W30*W$13),0)))</f>
        <v>0</v>
      </c>
      <c r="X44" s="7">
        <f>IF($M$15=структура!$G$11,X$13/12,IF($M$15=структура!$G$12,IF(OR($L44&lt;X$17,$L44&gt;X$18),0,X$13/(X$18-X$17+1)),IF($M$15=структура!$G$13,IF(X30="",0,X30*X$13),0)))</f>
        <v>0</v>
      </c>
      <c r="Y44" s="7">
        <f>IF($M$15=структура!$G$11,Y$13/12,IF($M$15=структура!$G$12,IF(OR($L44&lt;Y$17,$L44&gt;Y$18),0,Y$13/(Y$18-Y$17+1)),IF($M$15=структура!$G$13,IF(Y30="",0,Y30*Y$13),0)))</f>
        <v>0</v>
      </c>
      <c r="Z44" s="7">
        <f>IF($M$15=структура!$G$11,Z$13/12,IF($M$15=структура!$G$12,IF(OR($L44&lt;Z$17,$L44&gt;Z$18),0,Z$13/(Z$18-Z$17+1)),IF($M$15=структура!$G$13,IF(Z30="",0,Z30*Z$13),0)))</f>
        <v>0</v>
      </c>
      <c r="AA44" s="7">
        <f>IF($M$15=структура!$G$11,AA$13/12,IF($M$15=структура!$G$12,IF(OR($L44&lt;AA$17,$L44&gt;AA$18),0,AA$13/(AA$18-AA$17+1)),IF($M$15=структура!$G$13,IF(AA30="",0,AA30*AA$13),0)))</f>
        <v>0</v>
      </c>
      <c r="AB44" s="7">
        <f>IF($M$15=структура!$G$11,AB$13/12,IF($M$15=структура!$G$12,IF(OR($L44&lt;AB$17,$L44&gt;AB$18),0,AB$13/(AB$18-AB$17+1)),IF($M$15=структура!$G$13,IF(AB30="",0,AB30*AB$13),0)))</f>
        <v>0</v>
      </c>
      <c r="AC44" s="7">
        <f>IF($M$15=структура!$G$11,AC$13/12,IF($M$15=структура!$G$12,IF(OR($L44&lt;AC$17,$L44&gt;AC$18),0,AC$13/(AC$18-AC$17+1)),IF($M$15=структура!$G$13,IF(AC30="",0,AC30*AC$13),0)))</f>
        <v>0</v>
      </c>
      <c r="AD44" s="5"/>
      <c r="AE44" s="5"/>
    </row>
    <row r="45" spans="1:31" s="1" customFormat="1" ht="10.199999999999999" x14ac:dyDescent="0.2">
      <c r="A45" s="5"/>
      <c r="B45" s="5"/>
      <c r="C45" s="5"/>
      <c r="D45" s="5"/>
      <c r="E45" s="5"/>
      <c r="F45" s="5" t="str">
        <f t="shared" si="8"/>
        <v>ежемесячное распределение начальных кап. затрат</v>
      </c>
      <c r="G45" s="5"/>
      <c r="H45" s="5"/>
      <c r="I45" s="5"/>
      <c r="J45" s="5" t="str">
        <f>IF($F45="","",INDEX(KPI!$I$11:$I$275,SUMIFS(KPI!$E$11:$E$275,KPI!$F$11:$F$275,$F45)))</f>
        <v>тыс.руб.</v>
      </c>
      <c r="K45" s="5"/>
      <c r="L45" s="5">
        <f>IF($F45="","",структура!$J$21)</f>
        <v>11</v>
      </c>
      <c r="M45" s="5" t="str">
        <f>IF($F45="","",структура!$M$21)</f>
        <v>ноя</v>
      </c>
      <c r="N45" s="5"/>
      <c r="O45" s="5"/>
      <c r="P45" s="5"/>
      <c r="Q45" s="5"/>
      <c r="R45" s="5"/>
      <c r="S45" s="5"/>
      <c r="T45" s="7">
        <f>IF($M$15=структура!$G$11,T$13/12,IF($M$15=структура!$G$12,IF(OR($L45&lt;T$17,$L45&gt;T$18),0,T$13/(T$18-T$17+1)),IF($M$15=структура!$G$13,IF(T31="",0,T31*T$13),0)))</f>
        <v>0</v>
      </c>
      <c r="U45" s="7">
        <f>IF($M$15=структура!$G$11,U$13/12,IF($M$15=структура!$G$12,IF(OR($L45&lt;U$17,$L45&gt;U$18),0,U$13/(U$18-U$17+1)),IF($M$15=структура!$G$13,IF(U31="",0,U31*U$13),0)))</f>
        <v>0</v>
      </c>
      <c r="V45" s="7">
        <f>IF($M$15=структура!$G$11,V$13/12,IF($M$15=структура!$G$12,IF(OR($L45&lt;V$17,$L45&gt;V$18),0,V$13/(V$18-V$17+1)),IF($M$15=структура!$G$13,IF(V31="",0,V31*V$13),0)))</f>
        <v>0</v>
      </c>
      <c r="W45" s="7">
        <f>IF($M$15=структура!$G$11,W$13/12,IF($M$15=структура!$G$12,IF(OR($L45&lt;W$17,$L45&gt;W$18),0,W$13/(W$18-W$17+1)),IF($M$15=структура!$G$13,IF(W31="",0,W31*W$13),0)))</f>
        <v>0</v>
      </c>
      <c r="X45" s="7">
        <f>IF($M$15=структура!$G$11,X$13/12,IF($M$15=структура!$G$12,IF(OR($L45&lt;X$17,$L45&gt;X$18),0,X$13/(X$18-X$17+1)),IF($M$15=структура!$G$13,IF(X31="",0,X31*X$13),0)))</f>
        <v>0</v>
      </c>
      <c r="Y45" s="7">
        <f>IF($M$15=структура!$G$11,Y$13/12,IF($M$15=структура!$G$12,IF(OR($L45&lt;Y$17,$L45&gt;Y$18),0,Y$13/(Y$18-Y$17+1)),IF($M$15=структура!$G$13,IF(Y31="",0,Y31*Y$13),0)))</f>
        <v>0</v>
      </c>
      <c r="Z45" s="7">
        <f>IF($M$15=структура!$G$11,Z$13/12,IF($M$15=структура!$G$12,IF(OR($L45&lt;Z$17,$L45&gt;Z$18),0,Z$13/(Z$18-Z$17+1)),IF($M$15=структура!$G$13,IF(Z31="",0,Z31*Z$13),0)))</f>
        <v>0</v>
      </c>
      <c r="AA45" s="7">
        <f>IF($M$15=структура!$G$11,AA$13/12,IF($M$15=структура!$G$12,IF(OR($L45&lt;AA$17,$L45&gt;AA$18),0,AA$13/(AA$18-AA$17+1)),IF($M$15=структура!$G$13,IF(AA31="",0,AA31*AA$13),0)))</f>
        <v>0</v>
      </c>
      <c r="AB45" s="7">
        <f>IF($M$15=структура!$G$11,AB$13/12,IF($M$15=структура!$G$12,IF(OR($L45&lt;AB$17,$L45&gt;AB$18),0,AB$13/(AB$18-AB$17+1)),IF($M$15=структура!$G$13,IF(AB31="",0,AB31*AB$13),0)))</f>
        <v>0</v>
      </c>
      <c r="AC45" s="7">
        <f>IF($M$15=структура!$G$11,AC$13/12,IF($M$15=структура!$G$12,IF(OR($L45&lt;AC$17,$L45&gt;AC$18),0,AC$13/(AC$18-AC$17+1)),IF($M$15=структура!$G$13,IF(AC31="",0,AC31*AC$13),0)))</f>
        <v>0</v>
      </c>
      <c r="AD45" s="5"/>
      <c r="AE45" s="5"/>
    </row>
    <row r="46" spans="1:31" s="1" customFormat="1" ht="10.199999999999999" x14ac:dyDescent="0.2">
      <c r="A46" s="5"/>
      <c r="B46" s="5"/>
      <c r="C46" s="5"/>
      <c r="D46" s="5"/>
      <c r="E46" s="5"/>
      <c r="F46" s="5" t="str">
        <f t="shared" si="8"/>
        <v>ежемесячное распределение начальных кап. затрат</v>
      </c>
      <c r="G46" s="5"/>
      <c r="H46" s="5"/>
      <c r="I46" s="5"/>
      <c r="J46" s="5" t="str">
        <f>IF($F46="","",INDEX(KPI!$I$11:$I$275,SUMIFS(KPI!$E$11:$E$275,KPI!$F$11:$F$275,$F46)))</f>
        <v>тыс.руб.</v>
      </c>
      <c r="K46" s="5"/>
      <c r="L46" s="5">
        <f>IF($F46="","",структура!$J$22)</f>
        <v>12</v>
      </c>
      <c r="M46" s="5" t="str">
        <f>IF($F46="","",структура!$M$22)</f>
        <v>дек</v>
      </c>
      <c r="N46" s="5"/>
      <c r="O46" s="5"/>
      <c r="P46" s="5"/>
      <c r="Q46" s="5"/>
      <c r="R46" s="5"/>
      <c r="S46" s="5"/>
      <c r="T46" s="7">
        <f>IF($M$15=структура!$G$11,T$13/12,IF($M$15=структура!$G$12,IF(OR($L46&lt;T$17,$L46&gt;T$18),0,T$13/(T$18-T$17+1)),IF($M$15=структура!$G$13,IF(T32="",0,T32*T$13),0)))</f>
        <v>0</v>
      </c>
      <c r="U46" s="7">
        <f>IF($M$15=структура!$G$11,U$13/12,IF($M$15=структура!$G$12,IF(OR($L46&lt;U$17,$L46&gt;U$18),0,U$13/(U$18-U$17+1)),IF($M$15=структура!$G$13,IF(U32="",0,U32*U$13),0)))</f>
        <v>0</v>
      </c>
      <c r="V46" s="7">
        <f>IF($M$15=структура!$G$11,V$13/12,IF($M$15=структура!$G$12,IF(OR($L46&lt;V$17,$L46&gt;V$18),0,V$13/(V$18-V$17+1)),IF($M$15=структура!$G$13,IF(V32="",0,V32*V$13),0)))</f>
        <v>0</v>
      </c>
      <c r="W46" s="7">
        <f>IF($M$15=структура!$G$11,W$13/12,IF($M$15=структура!$G$12,IF(OR($L46&lt;W$17,$L46&gt;W$18),0,W$13/(W$18-W$17+1)),IF($M$15=структура!$G$13,IF(W32="",0,W32*W$13),0)))</f>
        <v>0</v>
      </c>
      <c r="X46" s="7">
        <f>IF($M$15=структура!$G$11,X$13/12,IF($M$15=структура!$G$12,IF(OR($L46&lt;X$17,$L46&gt;X$18),0,X$13/(X$18-X$17+1)),IF($M$15=структура!$G$13,IF(X32="",0,X32*X$13),0)))</f>
        <v>0</v>
      </c>
      <c r="Y46" s="7">
        <f>IF($M$15=структура!$G$11,Y$13/12,IF($M$15=структура!$G$12,IF(OR($L46&lt;Y$17,$L46&gt;Y$18),0,Y$13/(Y$18-Y$17+1)),IF($M$15=структура!$G$13,IF(Y32="",0,Y32*Y$13),0)))</f>
        <v>0</v>
      </c>
      <c r="Z46" s="7">
        <f>IF($M$15=структура!$G$11,Z$13/12,IF($M$15=структура!$G$12,IF(OR($L46&lt;Z$17,$L46&gt;Z$18),0,Z$13/(Z$18-Z$17+1)),IF($M$15=структура!$G$13,IF(Z32="",0,Z32*Z$13),0)))</f>
        <v>0</v>
      </c>
      <c r="AA46" s="7">
        <f>IF($M$15=структура!$G$11,AA$13/12,IF($M$15=структура!$G$12,IF(OR($L46&lt;AA$17,$L46&gt;AA$18),0,AA$13/(AA$18-AA$17+1)),IF($M$15=структура!$G$13,IF(AA32="",0,AA32*AA$13),0)))</f>
        <v>0</v>
      </c>
      <c r="AB46" s="7">
        <f>IF($M$15=структура!$G$11,AB$13/12,IF($M$15=структура!$G$12,IF(OR($L46&lt;AB$17,$L46&gt;AB$18),0,AB$13/(AB$18-AB$17+1)),IF($M$15=структура!$G$13,IF(AB32="",0,AB32*AB$13),0)))</f>
        <v>0</v>
      </c>
      <c r="AC46" s="7">
        <f>IF($M$15=структура!$G$11,AC$13/12,IF($M$15=структура!$G$12,IF(OR($L46&lt;AC$17,$L46&gt;AC$18),0,AC$13/(AC$18-AC$17+1)),IF($M$15=структура!$G$13,IF(AC32="",0,AC32*AC$13),0)))</f>
        <v>0</v>
      </c>
      <c r="AD46" s="5"/>
      <c r="AE46" s="5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1" t="str">
        <f>IF(T48="","",IF(OR(T48&lt;1,T48&gt;12),структура!$P$11,""))</f>
        <v/>
      </c>
      <c r="U47" s="21" t="str">
        <f>IF(U48="","",IF(OR(U48&lt;1,U48&gt;12),структура!$P$11,""))</f>
        <v/>
      </c>
      <c r="V47" s="21" t="str">
        <f>IF(V48="","",IF(OR(V48&lt;1,V48&gt;12),структура!$P$11,""))</f>
        <v/>
      </c>
      <c r="W47" s="21" t="str">
        <f>IF(W48="","",IF(OR(W48&lt;1,W48&gt;12),структура!$P$11,""))</f>
        <v/>
      </c>
      <c r="X47" s="21" t="str">
        <f>IF(X48="","",IF(OR(X48&lt;1,X48&gt;12),структура!$P$11,""))</f>
        <v/>
      </c>
      <c r="Y47" s="21" t="str">
        <f>IF(Y48="","",IF(OR(Y48&lt;1,Y48&gt;12),структура!$P$11,""))</f>
        <v/>
      </c>
      <c r="Z47" s="21" t="str">
        <f>IF(Z48="","",IF(OR(Z48&lt;1,Z48&gt;12),структура!$P$11,""))</f>
        <v/>
      </c>
      <c r="AA47" s="21" t="str">
        <f>IF(AA48="","",IF(OR(AA48&lt;1,AA48&gt;12),структура!$P$11,""))</f>
        <v/>
      </c>
      <c r="AB47" s="21" t="str">
        <f>IF(AB48="","",IF(OR(AB48&lt;1,AB48&gt;12),структура!$P$11,""))</f>
        <v/>
      </c>
      <c r="AC47" s="21" t="str">
        <f>IF(AC48="","",IF(OR(AC48&lt;1,AC48&gt;12),структура!$P$11,""))</f>
        <v/>
      </c>
      <c r="AD47" s="3"/>
      <c r="AE47" s="3"/>
    </row>
    <row r="48" spans="1:31" x14ac:dyDescent="0.25">
      <c r="A48" s="3"/>
      <c r="B48" s="3"/>
      <c r="C48" s="3"/>
      <c r="D48" s="3"/>
      <c r="E48" s="3"/>
      <c r="F48" s="3" t="str">
        <f>KPI!F16</f>
        <v>номер месяца ввода в эксплуатацию объектов начальных кап. затрат</v>
      </c>
      <c r="G48" s="3"/>
      <c r="H48" s="3"/>
      <c r="I48" s="3"/>
      <c r="J48" s="3" t="str">
        <f>IF($F48="","",INDEX(KPI!$I$11:$I$275,SUMIFS(KPI!$E$11:$E$275,KPI!$F$11:$F$275,$F48)))</f>
        <v>№ мес</v>
      </c>
      <c r="K48" s="3"/>
      <c r="L48" s="3"/>
      <c r="M48" s="3"/>
      <c r="N48" s="3"/>
      <c r="O48" s="3"/>
      <c r="P48" s="3"/>
      <c r="Q48" s="3"/>
      <c r="R48" s="3"/>
      <c r="S48" s="22" t="str">
        <f>IF($F48="","","*")</f>
        <v>*</v>
      </c>
      <c r="T48" s="4">
        <v>3</v>
      </c>
      <c r="U48" s="4"/>
      <c r="V48" s="4"/>
      <c r="W48" s="4"/>
      <c r="X48" s="4"/>
      <c r="Y48" s="4"/>
      <c r="Z48" s="4"/>
      <c r="AA48" s="4"/>
      <c r="AB48" s="4"/>
      <c r="AC48" s="4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 t="str">
        <f>KPI!$F$19</f>
        <v>количество лет амортизации производственных объектов</v>
      </c>
      <c r="G50" s="3"/>
      <c r="H50" s="3"/>
      <c r="I50" s="3"/>
      <c r="J50" s="3" t="str">
        <f>IF($F50="","",INDEX(KPI!$I$11:$I$275,SUMIFS(KPI!$E$11:$E$275,KPI!$F$11:$F$275,$F50)))</f>
        <v>лет</v>
      </c>
      <c r="K50" s="3"/>
      <c r="L50" s="3"/>
      <c r="M50" s="3"/>
      <c r="N50" s="3"/>
      <c r="O50" s="3"/>
      <c r="P50" s="22" t="str">
        <f>IF($F50="","","*")</f>
        <v>*</v>
      </c>
      <c r="Q50" s="6">
        <v>10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 t="str">
        <f>KPI!$F$22</f>
        <v>максимальный выпуск готовой продукции (ГП) в месяц (выработка)</v>
      </c>
      <c r="G52" s="3"/>
      <c r="H52" s="3"/>
      <c r="I52" s="3"/>
      <c r="J52" s="3" t="str">
        <f>IF($F52="","",INDEX(KPI!$I$11:$I$275,SUMIFS(KPI!$E$11:$E$275,KPI!$F$11:$F$275,$F52)))</f>
        <v>ед. ГП</v>
      </c>
      <c r="K52" s="3"/>
      <c r="L52" s="3"/>
      <c r="M52" s="3"/>
      <c r="N52" s="3"/>
      <c r="O52" s="3"/>
      <c r="P52" s="22" t="str">
        <f>IF($F52="","","*")</f>
        <v>*</v>
      </c>
      <c r="Q52" s="6">
        <v>700000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 t="str">
        <f>KPI!$F$23</f>
        <v>объем собственного склада ГП в % от максимальной выработки в месяц</v>
      </c>
      <c r="G54" s="3"/>
      <c r="H54" s="3"/>
      <c r="I54" s="3"/>
      <c r="J54" s="3" t="str">
        <f>IF($F54="","",INDEX(KPI!$I$11:$I$275,SUMIFS(KPI!$E$11:$E$275,KPI!$F$11:$F$275,$F54)))</f>
        <v>%</v>
      </c>
      <c r="K54" s="3"/>
      <c r="L54" s="3"/>
      <c r="M54" s="3"/>
      <c r="N54" s="3"/>
      <c r="O54" s="3"/>
      <c r="P54" s="22" t="str">
        <f>IF($F54="","","*")</f>
        <v>*</v>
      </c>
      <c r="Q54" s="8">
        <v>0.7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 t="str">
        <f>KPI!$F$24</f>
        <v>объем собств. склада сырья и материалов в % от максимальной выработки в мес.</v>
      </c>
      <c r="G56" s="3"/>
      <c r="H56" s="3"/>
      <c r="I56" s="3"/>
      <c r="J56" s="3" t="str">
        <f>IF($F56="","",INDEX(KPI!$I$11:$I$275,SUMIFS(KPI!$E$11:$E$275,KPI!$F$11:$F$275,$F56)))</f>
        <v>%</v>
      </c>
      <c r="K56" s="3"/>
      <c r="L56" s="3"/>
      <c r="M56" s="3"/>
      <c r="N56" s="3"/>
      <c r="O56" s="3"/>
      <c r="P56" s="22" t="str">
        <f>IF($F56="","","*")</f>
        <v>*</v>
      </c>
      <c r="Q56" s="8">
        <v>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1" customFormat="1" x14ac:dyDescent="0.25">
      <c r="A58" s="10"/>
      <c r="B58" s="10"/>
      <c r="C58" s="10"/>
      <c r="D58" s="10"/>
      <c r="E58" s="10"/>
      <c r="F58" s="10" t="str">
        <f>KPI!$F$25</f>
        <v>емкость рынка сбыта ГП в регионе продаж</v>
      </c>
      <c r="G58" s="10"/>
      <c r="H58" s="10"/>
      <c r="I58" s="10"/>
      <c r="J58" s="10" t="str">
        <f>IF($F58="","",INDEX(KPI!$I$11:$I$275,SUMIFS(KPI!$E$11:$E$275,KPI!$F$11:$F$275,$F58)))</f>
        <v>потенц. клиенты</v>
      </c>
      <c r="K58" s="10"/>
      <c r="L58" s="10"/>
      <c r="M58" s="10"/>
      <c r="N58" s="10"/>
      <c r="O58" s="10"/>
      <c r="P58" s="10"/>
      <c r="Q58" s="10"/>
      <c r="R58" s="10"/>
      <c r="S58" s="22" t="str">
        <f>IF($F58="","","*")</f>
        <v>*</v>
      </c>
      <c r="T58" s="27">
        <v>500000</v>
      </c>
      <c r="U58" s="27">
        <v>600000</v>
      </c>
      <c r="V58" s="27">
        <v>700000</v>
      </c>
      <c r="W58" s="27">
        <v>750000</v>
      </c>
      <c r="X58" s="27">
        <v>800000</v>
      </c>
      <c r="Y58" s="27">
        <v>850000</v>
      </c>
      <c r="Z58" s="27">
        <v>900000</v>
      </c>
      <c r="AA58" s="27">
        <v>1000000</v>
      </c>
      <c r="AB58" s="27">
        <v>1000000</v>
      </c>
      <c r="AC58" s="27">
        <v>1000000</v>
      </c>
      <c r="AD58" s="10"/>
      <c r="AE58" s="10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 t="str">
        <f>KPI!$F$26</f>
        <v>целевой процент собственного рынка сбыта</v>
      </c>
      <c r="G60" s="3"/>
      <c r="H60" s="3"/>
      <c r="I60" s="3"/>
      <c r="J60" s="3" t="str">
        <f>IF($F60="","",INDEX(KPI!$I$11:$I$275,SUMIFS(KPI!$E$11:$E$275,KPI!$F$11:$F$275,$F60)))</f>
        <v>%</v>
      </c>
      <c r="K60" s="3"/>
      <c r="L60" s="3"/>
      <c r="M60" s="3"/>
      <c r="N60" s="3"/>
      <c r="O60" s="3"/>
      <c r="P60" s="3"/>
      <c r="Q60" s="3"/>
      <c r="R60" s="3"/>
      <c r="S60" s="22" t="str">
        <f>IF($F60="","","*")</f>
        <v>*</v>
      </c>
      <c r="T60" s="8">
        <v>0.01</v>
      </c>
      <c r="U60" s="8">
        <v>0.03</v>
      </c>
      <c r="V60" s="8">
        <v>0.05</v>
      </c>
      <c r="W60" s="8">
        <v>7.0000000000000007E-2</v>
      </c>
      <c r="X60" s="8">
        <v>0.1</v>
      </c>
      <c r="Y60" s="8">
        <v>0.12</v>
      </c>
      <c r="Z60" s="8">
        <v>0.14000000000000001</v>
      </c>
      <c r="AA60" s="8">
        <v>0.14000000000000001</v>
      </c>
      <c r="AB60" s="8">
        <v>0.15</v>
      </c>
      <c r="AC60" s="8">
        <v>0.15</v>
      </c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 t="str">
        <f>KPI!$F$27</f>
        <v>среднее количество проданных единиц ГП одному клиенту в месяц</v>
      </c>
      <c r="G62" s="3"/>
      <c r="H62" s="3"/>
      <c r="I62" s="3"/>
      <c r="J62" s="3" t="str">
        <f>IF($F62="","",INDEX(KPI!$I$11:$I$275,SUMIFS(KPI!$E$11:$E$275,KPI!$F$11:$F$275,$F62)))</f>
        <v>ед. ГП</v>
      </c>
      <c r="K62" s="3"/>
      <c r="L62" s="3"/>
      <c r="M62" s="3"/>
      <c r="N62" s="3"/>
      <c r="O62" s="3"/>
      <c r="P62" s="3"/>
      <c r="Q62" s="3"/>
      <c r="R62" s="3"/>
      <c r="S62" s="22" t="str">
        <f>IF($F62="","","*")</f>
        <v>*</v>
      </c>
      <c r="T62" s="4">
        <v>30</v>
      </c>
      <c r="U62" s="4">
        <v>30</v>
      </c>
      <c r="V62" s="4">
        <v>40</v>
      </c>
      <c r="W62" s="4">
        <v>50</v>
      </c>
      <c r="X62" s="4">
        <v>60</v>
      </c>
      <c r="Y62" s="4">
        <v>60</v>
      </c>
      <c r="Z62" s="4">
        <v>60</v>
      </c>
      <c r="AA62" s="4">
        <v>60</v>
      </c>
      <c r="AB62" s="4">
        <v>60</v>
      </c>
      <c r="AC62" s="4">
        <v>60</v>
      </c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11" customFormat="1" x14ac:dyDescent="0.25">
      <c r="A64" s="10"/>
      <c r="B64" s="10"/>
      <c r="C64" s="10"/>
      <c r="D64" s="10"/>
      <c r="E64" s="10"/>
      <c r="F64" s="10" t="str">
        <f>KPI!$F$28</f>
        <v>целевой ежегодный план продаж в количестве ГП</v>
      </c>
      <c r="G64" s="10"/>
      <c r="H64" s="10"/>
      <c r="I64" s="10"/>
      <c r="J64" s="10" t="str">
        <f>IF($F64="","",INDEX(KPI!$I$11:$I$275,SUMIFS(KPI!$E$11:$E$275,KPI!$F$11:$F$275,$F64)))</f>
        <v>ед. ГП</v>
      </c>
      <c r="K64" s="10"/>
      <c r="L64" s="10"/>
      <c r="M64" s="10"/>
      <c r="N64" s="10"/>
      <c r="O64" s="10"/>
      <c r="P64" s="10"/>
      <c r="Q64" s="12"/>
      <c r="R64" s="10"/>
      <c r="S64" s="10"/>
      <c r="T64" s="46">
        <f>T58*T60*T62</f>
        <v>150000</v>
      </c>
      <c r="U64" s="46">
        <f t="shared" ref="U64:AC64" si="9">U58*U60*U62</f>
        <v>540000</v>
      </c>
      <c r="V64" s="46">
        <f t="shared" si="9"/>
        <v>1400000</v>
      </c>
      <c r="W64" s="46">
        <f t="shared" si="9"/>
        <v>2625000.0000000005</v>
      </c>
      <c r="X64" s="46">
        <f t="shared" si="9"/>
        <v>4800000</v>
      </c>
      <c r="Y64" s="46">
        <f t="shared" si="9"/>
        <v>6120000</v>
      </c>
      <c r="Z64" s="46">
        <f t="shared" si="9"/>
        <v>7560000.0000000009</v>
      </c>
      <c r="AA64" s="46">
        <f t="shared" si="9"/>
        <v>8400000</v>
      </c>
      <c r="AB64" s="46">
        <f t="shared" si="9"/>
        <v>9000000</v>
      </c>
      <c r="AC64" s="46">
        <f t="shared" si="9"/>
        <v>9000000</v>
      </c>
      <c r="AD64" s="10"/>
      <c r="AE64" s="10"/>
    </row>
    <row r="65" spans="1:31" x14ac:dyDescent="0.25">
      <c r="A65" s="3"/>
      <c r="B65" s="3"/>
      <c r="C65" s="3"/>
      <c r="D65" s="3"/>
      <c r="E65" s="3"/>
      <c r="F65" s="10" t="str">
        <f>KPI!$F$29</f>
        <v>процентное ежемесячное распределение продаж в количестве ГП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  <c r="U65" s="5"/>
      <c r="V65" s="5"/>
      <c r="W65" s="5"/>
      <c r="X65" s="5"/>
      <c r="Y65" s="5"/>
      <c r="Z65" s="5"/>
      <c r="AA65" s="5"/>
      <c r="AB65" s="5"/>
      <c r="AC65" s="5"/>
      <c r="AD65" s="3"/>
      <c r="AE65" s="3"/>
    </row>
    <row r="66" spans="1:31" s="1" customFormat="1" ht="10.199999999999999" x14ac:dyDescent="0.2">
      <c r="A66" s="5"/>
      <c r="B66" s="5"/>
      <c r="C66" s="5"/>
      <c r="D66" s="5"/>
      <c r="E66" s="5"/>
      <c r="F66" s="5" t="str">
        <f>$F$65</f>
        <v>процентное ежемесячное распределение продаж в количестве ГП</v>
      </c>
      <c r="G66" s="5"/>
      <c r="H66" s="5"/>
      <c r="I66" s="5"/>
      <c r="J66" s="5" t="str">
        <f>IF($F66="","",INDEX(KPI!$I$11:$I$275,SUMIFS(KPI!$E$11:$E$275,KPI!$F$11:$F$275,$F66)))</f>
        <v>%</v>
      </c>
      <c r="K66" s="5"/>
      <c r="L66" s="5">
        <f>IF($F66="","",структура!$J$11)</f>
        <v>1</v>
      </c>
      <c r="M66" s="5" t="str">
        <f>IF($F66="","",структура!$M$11)</f>
        <v>янв</v>
      </c>
      <c r="N66" s="5"/>
      <c r="O66" s="5"/>
      <c r="P66" s="31" t="str">
        <f t="shared" ref="P66:P76" si="10">IF($F66="","","*")</f>
        <v>*</v>
      </c>
      <c r="Q66" s="9">
        <v>0.06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" customFormat="1" ht="10.199999999999999" x14ac:dyDescent="0.2">
      <c r="A67" s="5"/>
      <c r="B67" s="5"/>
      <c r="C67" s="5"/>
      <c r="D67" s="5"/>
      <c r="E67" s="5"/>
      <c r="F67" s="5" t="str">
        <f t="shared" ref="F67:F77" si="11">$F$65</f>
        <v>процентное ежемесячное распределение продаж в количестве ГП</v>
      </c>
      <c r="G67" s="5"/>
      <c r="H67" s="5"/>
      <c r="I67" s="5"/>
      <c r="J67" s="5" t="str">
        <f>IF($F67="","",INDEX(KPI!$I$11:$I$275,SUMIFS(KPI!$E$11:$E$275,KPI!$F$11:$F$275,$F67)))</f>
        <v>%</v>
      </c>
      <c r="K67" s="5"/>
      <c r="L67" s="5">
        <f>IF($F67="","",структура!$J$12)</f>
        <v>2</v>
      </c>
      <c r="M67" s="5" t="str">
        <f>IF($F67="","",структура!$M$12)</f>
        <v>фев</v>
      </c>
      <c r="N67" s="5"/>
      <c r="O67" s="5"/>
      <c r="P67" s="31" t="str">
        <f t="shared" si="10"/>
        <v>*</v>
      </c>
      <c r="Q67" s="9">
        <v>7.0000000000000007E-2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" customFormat="1" ht="10.199999999999999" x14ac:dyDescent="0.2">
      <c r="A68" s="5"/>
      <c r="B68" s="5"/>
      <c r="C68" s="5"/>
      <c r="D68" s="5"/>
      <c r="E68" s="5"/>
      <c r="F68" s="5" t="str">
        <f t="shared" si="11"/>
        <v>процентное ежемесячное распределение продаж в количестве ГП</v>
      </c>
      <c r="G68" s="5"/>
      <c r="H68" s="5"/>
      <c r="I68" s="5"/>
      <c r="J68" s="5" t="str">
        <f>IF($F68="","",INDEX(KPI!$I$11:$I$275,SUMIFS(KPI!$E$11:$E$275,KPI!$F$11:$F$275,$F68)))</f>
        <v>%</v>
      </c>
      <c r="K68" s="5"/>
      <c r="L68" s="5">
        <f>IF($F68="","",структура!$J$13)</f>
        <v>3</v>
      </c>
      <c r="M68" s="5" t="str">
        <f>IF($F68="","",структура!$M$13)</f>
        <v>мар</v>
      </c>
      <c r="N68" s="5"/>
      <c r="O68" s="5"/>
      <c r="P68" s="31" t="str">
        <f t="shared" si="10"/>
        <v>*</v>
      </c>
      <c r="Q68" s="9">
        <v>0.08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" customFormat="1" ht="10.199999999999999" x14ac:dyDescent="0.2">
      <c r="A69" s="5"/>
      <c r="B69" s="5"/>
      <c r="C69" s="5"/>
      <c r="D69" s="5"/>
      <c r="E69" s="5"/>
      <c r="F69" s="5" t="str">
        <f t="shared" si="11"/>
        <v>процентное ежемесячное распределение продаж в количестве ГП</v>
      </c>
      <c r="G69" s="5"/>
      <c r="H69" s="5"/>
      <c r="I69" s="5"/>
      <c r="J69" s="5" t="str">
        <f>IF($F69="","",INDEX(KPI!$I$11:$I$275,SUMIFS(KPI!$E$11:$E$275,KPI!$F$11:$F$275,$F69)))</f>
        <v>%</v>
      </c>
      <c r="K69" s="5"/>
      <c r="L69" s="5">
        <f>IF($F69="","",структура!$J$14)</f>
        <v>4</v>
      </c>
      <c r="M69" s="5" t="str">
        <f>IF($F69="","",структура!$M$14)</f>
        <v>апр</v>
      </c>
      <c r="N69" s="5"/>
      <c r="O69" s="5"/>
      <c r="P69" s="31" t="str">
        <f t="shared" si="10"/>
        <v>*</v>
      </c>
      <c r="Q69" s="9">
        <v>0.08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" customFormat="1" ht="10.199999999999999" x14ac:dyDescent="0.2">
      <c r="A70" s="5"/>
      <c r="B70" s="5"/>
      <c r="C70" s="5"/>
      <c r="D70" s="5"/>
      <c r="E70" s="5"/>
      <c r="F70" s="5" t="str">
        <f t="shared" si="11"/>
        <v>процентное ежемесячное распределение продаж в количестве ГП</v>
      </c>
      <c r="G70" s="5"/>
      <c r="H70" s="5"/>
      <c r="I70" s="5"/>
      <c r="J70" s="5" t="str">
        <f>IF($F70="","",INDEX(KPI!$I$11:$I$275,SUMIFS(KPI!$E$11:$E$275,KPI!$F$11:$F$275,$F70)))</f>
        <v>%</v>
      </c>
      <c r="K70" s="5"/>
      <c r="L70" s="5">
        <f>IF($F70="","",структура!$J$15)</f>
        <v>5</v>
      </c>
      <c r="M70" s="5" t="str">
        <f>IF($F70="","",структура!$M$15)</f>
        <v>май</v>
      </c>
      <c r="N70" s="5"/>
      <c r="O70" s="5"/>
      <c r="P70" s="31" t="str">
        <f t="shared" si="10"/>
        <v>*</v>
      </c>
      <c r="Q70" s="9">
        <v>0.06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1" customFormat="1" ht="10.199999999999999" x14ac:dyDescent="0.2">
      <c r="A71" s="5"/>
      <c r="B71" s="5"/>
      <c r="C71" s="5"/>
      <c r="D71" s="5"/>
      <c r="E71" s="5"/>
      <c r="F71" s="5" t="str">
        <f t="shared" si="11"/>
        <v>процентное ежемесячное распределение продаж в количестве ГП</v>
      </c>
      <c r="G71" s="5"/>
      <c r="H71" s="5"/>
      <c r="I71" s="5"/>
      <c r="J71" s="5" t="str">
        <f>IF($F71="","",INDEX(KPI!$I$11:$I$275,SUMIFS(KPI!$E$11:$E$275,KPI!$F$11:$F$275,$F71)))</f>
        <v>%</v>
      </c>
      <c r="K71" s="5"/>
      <c r="L71" s="5">
        <f>IF($F71="","",структура!$J$16)</f>
        <v>6</v>
      </c>
      <c r="M71" s="5" t="str">
        <f>IF($F71="","",структура!$M$16)</f>
        <v>июн</v>
      </c>
      <c r="N71" s="5"/>
      <c r="O71" s="5"/>
      <c r="P71" s="31" t="str">
        <f t="shared" si="10"/>
        <v>*</v>
      </c>
      <c r="Q71" s="9">
        <v>0.05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1" customFormat="1" ht="10.199999999999999" x14ac:dyDescent="0.2">
      <c r="A72" s="5"/>
      <c r="B72" s="5"/>
      <c r="C72" s="5"/>
      <c r="D72" s="5"/>
      <c r="E72" s="5"/>
      <c r="F72" s="5" t="str">
        <f t="shared" si="11"/>
        <v>процентное ежемесячное распределение продаж в количестве ГП</v>
      </c>
      <c r="G72" s="5"/>
      <c r="H72" s="5"/>
      <c r="I72" s="5"/>
      <c r="J72" s="5" t="str">
        <f>IF($F72="","",INDEX(KPI!$I$11:$I$275,SUMIFS(KPI!$E$11:$E$275,KPI!$F$11:$F$275,$F72)))</f>
        <v>%</v>
      </c>
      <c r="K72" s="5"/>
      <c r="L72" s="5">
        <f>IF($F72="","",структура!$J$17)</f>
        <v>7</v>
      </c>
      <c r="M72" s="5" t="str">
        <f>IF($F72="","",структура!$M$17)</f>
        <v>июл</v>
      </c>
      <c r="N72" s="5"/>
      <c r="O72" s="5"/>
      <c r="P72" s="31" t="str">
        <f t="shared" si="10"/>
        <v>*</v>
      </c>
      <c r="Q72" s="9">
        <v>0.05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1" customFormat="1" ht="10.199999999999999" x14ac:dyDescent="0.2">
      <c r="A73" s="5"/>
      <c r="B73" s="5"/>
      <c r="C73" s="5"/>
      <c r="D73" s="5"/>
      <c r="E73" s="5"/>
      <c r="F73" s="5" t="str">
        <f t="shared" si="11"/>
        <v>процентное ежемесячное распределение продаж в количестве ГП</v>
      </c>
      <c r="G73" s="5"/>
      <c r="H73" s="5"/>
      <c r="I73" s="5"/>
      <c r="J73" s="5" t="str">
        <f>IF($F73="","",INDEX(KPI!$I$11:$I$275,SUMIFS(KPI!$E$11:$E$275,KPI!$F$11:$F$275,$F73)))</f>
        <v>%</v>
      </c>
      <c r="K73" s="5"/>
      <c r="L73" s="5">
        <f>IF($F73="","",структура!$J$18)</f>
        <v>8</v>
      </c>
      <c r="M73" s="5" t="str">
        <f>IF($F73="","",структура!$M$18)</f>
        <v>авг</v>
      </c>
      <c r="N73" s="5"/>
      <c r="O73" s="5"/>
      <c r="P73" s="31" t="str">
        <f t="shared" si="10"/>
        <v>*</v>
      </c>
      <c r="Q73" s="9">
        <v>0.06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1" customFormat="1" ht="10.199999999999999" x14ac:dyDescent="0.2">
      <c r="A74" s="5"/>
      <c r="B74" s="5"/>
      <c r="C74" s="5"/>
      <c r="D74" s="5"/>
      <c r="E74" s="5"/>
      <c r="F74" s="5" t="str">
        <f t="shared" si="11"/>
        <v>процентное ежемесячное распределение продаж в количестве ГП</v>
      </c>
      <c r="G74" s="5"/>
      <c r="H74" s="5"/>
      <c r="I74" s="5"/>
      <c r="J74" s="5" t="str">
        <f>IF($F74="","",INDEX(KPI!$I$11:$I$275,SUMIFS(KPI!$E$11:$E$275,KPI!$F$11:$F$275,$F74)))</f>
        <v>%</v>
      </c>
      <c r="K74" s="5"/>
      <c r="L74" s="5">
        <f>IF($F74="","",структура!$J$19)</f>
        <v>9</v>
      </c>
      <c r="M74" s="5" t="str">
        <f>IF($F74="","",структура!$M$19)</f>
        <v>сен</v>
      </c>
      <c r="N74" s="5"/>
      <c r="O74" s="5"/>
      <c r="P74" s="31" t="str">
        <f t="shared" si="10"/>
        <v>*</v>
      </c>
      <c r="Q74" s="9">
        <v>0.09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1" customFormat="1" ht="10.199999999999999" x14ac:dyDescent="0.2">
      <c r="A75" s="5"/>
      <c r="B75" s="5"/>
      <c r="C75" s="5"/>
      <c r="D75" s="5"/>
      <c r="E75" s="5"/>
      <c r="F75" s="5" t="str">
        <f t="shared" si="11"/>
        <v>процентное ежемесячное распределение продаж в количестве ГП</v>
      </c>
      <c r="G75" s="5"/>
      <c r="H75" s="5"/>
      <c r="I75" s="5"/>
      <c r="J75" s="5" t="str">
        <f>IF($F75="","",INDEX(KPI!$I$11:$I$275,SUMIFS(KPI!$E$11:$E$275,KPI!$F$11:$F$275,$F75)))</f>
        <v>%</v>
      </c>
      <c r="K75" s="5"/>
      <c r="L75" s="5">
        <f>IF($F75="","",структура!$J$20)</f>
        <v>10</v>
      </c>
      <c r="M75" s="5" t="str">
        <f>IF($F75="","",структура!$M$20)</f>
        <v>окт</v>
      </c>
      <c r="N75" s="5"/>
      <c r="O75" s="5"/>
      <c r="P75" s="31" t="str">
        <f t="shared" si="10"/>
        <v>*</v>
      </c>
      <c r="Q75" s="9">
        <v>0.12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1" customFormat="1" ht="10.199999999999999" x14ac:dyDescent="0.2">
      <c r="A76" s="5"/>
      <c r="B76" s="5"/>
      <c r="C76" s="5"/>
      <c r="D76" s="5"/>
      <c r="E76" s="5"/>
      <c r="F76" s="5" t="str">
        <f t="shared" si="11"/>
        <v>процентное ежемесячное распределение продаж в количестве ГП</v>
      </c>
      <c r="G76" s="5"/>
      <c r="H76" s="5"/>
      <c r="I76" s="5"/>
      <c r="J76" s="5" t="str">
        <f>IF($F76="","",INDEX(KPI!$I$11:$I$275,SUMIFS(KPI!$E$11:$E$275,KPI!$F$11:$F$275,$F76)))</f>
        <v>%</v>
      </c>
      <c r="K76" s="5"/>
      <c r="L76" s="5">
        <f>IF($F76="","",структура!$J$21)</f>
        <v>11</v>
      </c>
      <c r="M76" s="5" t="str">
        <f>IF($F76="","",структура!$M$21)</f>
        <v>ноя</v>
      </c>
      <c r="N76" s="5"/>
      <c r="O76" s="5"/>
      <c r="P76" s="31" t="str">
        <f t="shared" si="10"/>
        <v>*</v>
      </c>
      <c r="Q76" s="47">
        <v>0.15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1" customFormat="1" ht="10.199999999999999" x14ac:dyDescent="0.2">
      <c r="A77" s="5"/>
      <c r="B77" s="5"/>
      <c r="C77" s="5"/>
      <c r="D77" s="5"/>
      <c r="E77" s="5"/>
      <c r="F77" s="5" t="str">
        <f t="shared" si="11"/>
        <v>процентное ежемесячное распределение продаж в количестве ГП</v>
      </c>
      <c r="G77" s="5"/>
      <c r="H77" s="5"/>
      <c r="I77" s="5"/>
      <c r="J77" s="5" t="str">
        <f>IF($F77="","",INDEX(KPI!$I$11:$I$275,SUMIFS(KPI!$E$11:$E$275,KPI!$F$11:$F$275,$F77)))</f>
        <v>%</v>
      </c>
      <c r="K77" s="5"/>
      <c r="L77" s="5">
        <f>IF($F77="","",структура!$J$22)</f>
        <v>12</v>
      </c>
      <c r="M77" s="5" t="str">
        <f>IF($F77="","",структура!$M$22)</f>
        <v>дек</v>
      </c>
      <c r="N77" s="5"/>
      <c r="O77" s="5"/>
      <c r="P77" s="5"/>
      <c r="Q77" s="48">
        <f>100%-SUM(Q66:Q76)</f>
        <v>0.13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 t="str">
        <f>KPI!$F$31</f>
        <v>целевой период оборачиваемости ГП в продажах ГП</v>
      </c>
      <c r="G79" s="3"/>
      <c r="H79" s="3"/>
      <c r="I79" s="3"/>
      <c r="J79" s="3" t="str">
        <f>IF($F79="","",INDEX(KPI!$I$11:$I$275,SUMIFS(KPI!$E$11:$E$275,KPI!$F$11:$F$275,$F79)))</f>
        <v>дни</v>
      </c>
      <c r="K79" s="3"/>
      <c r="L79" s="3"/>
      <c r="M79" s="3"/>
      <c r="N79" s="3"/>
      <c r="O79" s="3"/>
      <c r="P79" s="3"/>
      <c r="Q79" s="3"/>
      <c r="R79" s="3"/>
      <c r="S79" s="22" t="str">
        <f>IF($F79="","","*")</f>
        <v>*</v>
      </c>
      <c r="T79" s="6">
        <v>30</v>
      </c>
      <c r="U79" s="6">
        <v>30</v>
      </c>
      <c r="V79" s="6">
        <v>30</v>
      </c>
      <c r="W79" s="6">
        <v>30</v>
      </c>
      <c r="X79" s="6">
        <v>25</v>
      </c>
      <c r="Y79" s="6">
        <v>25</v>
      </c>
      <c r="Z79" s="6">
        <v>25</v>
      </c>
      <c r="AA79" s="6">
        <v>20</v>
      </c>
      <c r="AB79" s="6">
        <v>20</v>
      </c>
      <c r="AC79" s="6">
        <v>20</v>
      </c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 t="str">
        <f>KPI!$F$34</f>
        <v>целевой период оборачиваемости сырья и материалов (СиМ) в производстве ГП</v>
      </c>
      <c r="G81" s="3"/>
      <c r="H81" s="3"/>
      <c r="I81" s="3"/>
      <c r="J81" s="3" t="str">
        <f>IF($F81="","",INDEX(KPI!$I$11:$I$275,SUMIFS(KPI!$E$11:$E$275,KPI!$F$11:$F$275,$F81)))</f>
        <v>дни</v>
      </c>
      <c r="K81" s="3"/>
      <c r="L81" s="3"/>
      <c r="M81" s="3"/>
      <c r="N81" s="3"/>
      <c r="O81" s="3"/>
      <c r="P81" s="3"/>
      <c r="Q81" s="3"/>
      <c r="R81" s="3"/>
      <c r="S81" s="22" t="str">
        <f>IF($F81="","","*")</f>
        <v>*</v>
      </c>
      <c r="T81" s="6">
        <v>45</v>
      </c>
      <c r="U81" s="6">
        <v>45</v>
      </c>
      <c r="V81" s="6">
        <v>45</v>
      </c>
      <c r="W81" s="6">
        <v>40</v>
      </c>
      <c r="X81" s="6">
        <v>40</v>
      </c>
      <c r="Y81" s="6">
        <v>40</v>
      </c>
      <c r="Z81" s="6">
        <v>40</v>
      </c>
      <c r="AA81" s="6">
        <v>30</v>
      </c>
      <c r="AB81" s="6">
        <v>30</v>
      </c>
      <c r="AC81" s="6">
        <v>30</v>
      </c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11" customFormat="1" x14ac:dyDescent="0.25">
      <c r="A83" s="10"/>
      <c r="B83" s="10"/>
      <c r="C83" s="10"/>
      <c r="D83" s="10"/>
      <c r="E83" s="10"/>
      <c r="F83" s="10" t="str">
        <f>KPI!$F$37</f>
        <v>себестоимость (стоимость СиМ) на начало периода единицы ГП</v>
      </c>
      <c r="G83" s="10"/>
      <c r="H83" s="10"/>
      <c r="I83" s="10"/>
      <c r="J83" s="10" t="str">
        <f>IF($F83="","",INDEX(KPI!$I$11:$I$275,SUMIFS(KPI!$E$11:$E$275,KPI!$F$11:$F$275,$F83)))</f>
        <v>руб.</v>
      </c>
      <c r="K83" s="10"/>
      <c r="L83" s="10"/>
      <c r="M83" s="10"/>
      <c r="N83" s="10"/>
      <c r="O83" s="10"/>
      <c r="P83" s="22" t="str">
        <f>IF($F83="","","*")</f>
        <v>*</v>
      </c>
      <c r="Q83" s="27">
        <v>100</v>
      </c>
      <c r="R83" s="10"/>
      <c r="S83" s="10"/>
      <c r="T83" s="46">
        <f>Q83</f>
        <v>100</v>
      </c>
      <c r="U83" s="46">
        <f>T83*(1+T85)</f>
        <v>112.00000000000001</v>
      </c>
      <c r="V83" s="46">
        <f t="shared" ref="V83:AB83" si="12">U83*(1+U85)</f>
        <v>125.44000000000003</v>
      </c>
      <c r="W83" s="46">
        <f t="shared" si="12"/>
        <v>137.98400000000004</v>
      </c>
      <c r="X83" s="46">
        <f t="shared" si="12"/>
        <v>151.78240000000005</v>
      </c>
      <c r="Y83" s="46">
        <f t="shared" si="12"/>
        <v>166.96064000000007</v>
      </c>
      <c r="Z83" s="46">
        <f t="shared" si="12"/>
        <v>180.31749120000009</v>
      </c>
      <c r="AA83" s="46">
        <f t="shared" si="12"/>
        <v>192.93971558400011</v>
      </c>
      <c r="AB83" s="46">
        <f t="shared" si="12"/>
        <v>202.58670136320012</v>
      </c>
      <c r="AC83" s="46">
        <f>AB83*(1+AB85)</f>
        <v>210.69016941772813</v>
      </c>
      <c r="AD83" s="10"/>
      <c r="AE83" s="10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11" customFormat="1" x14ac:dyDescent="0.25">
      <c r="A85" s="10"/>
      <c r="B85" s="10"/>
      <c r="C85" s="10"/>
      <c r="D85" s="10"/>
      <c r="E85" s="10"/>
      <c r="F85" s="10" t="str">
        <f>KPI!$F$38</f>
        <v>ожидаемая инфляция в разрезе себестоимости ГП</v>
      </c>
      <c r="G85" s="10"/>
      <c r="H85" s="10"/>
      <c r="I85" s="10"/>
      <c r="J85" s="10" t="str">
        <f>IF($F85="","",INDEX(KPI!$I$11:$I$275,SUMIFS(KPI!$E$11:$E$275,KPI!$F$11:$F$275,$F85)))</f>
        <v>%</v>
      </c>
      <c r="K85" s="10"/>
      <c r="L85" s="10"/>
      <c r="M85" s="10"/>
      <c r="N85" s="10"/>
      <c r="O85" s="10"/>
      <c r="P85" s="10"/>
      <c r="Q85" s="10"/>
      <c r="R85" s="10"/>
      <c r="S85" s="22" t="str">
        <f>IF($F85="","","*")</f>
        <v>*</v>
      </c>
      <c r="T85" s="51">
        <v>0.12</v>
      </c>
      <c r="U85" s="51">
        <v>0.12</v>
      </c>
      <c r="V85" s="51">
        <v>0.1</v>
      </c>
      <c r="W85" s="51">
        <v>0.1</v>
      </c>
      <c r="X85" s="51">
        <v>0.1</v>
      </c>
      <c r="Y85" s="51">
        <v>0.08</v>
      </c>
      <c r="Z85" s="51">
        <v>7.0000000000000007E-2</v>
      </c>
      <c r="AA85" s="51">
        <v>0.05</v>
      </c>
      <c r="AB85" s="51">
        <v>0.04</v>
      </c>
      <c r="AC85" s="51">
        <v>0.03</v>
      </c>
      <c r="AD85" s="10"/>
      <c r="AE85" s="10"/>
    </row>
    <row r="86" spans="1:31" x14ac:dyDescent="0.25">
      <c r="A86" s="3"/>
      <c r="B86" s="3"/>
      <c r="C86" s="3"/>
      <c r="D86" s="3"/>
      <c r="E86" s="3"/>
      <c r="F86" s="3" t="str">
        <f>KPI!$F$39</f>
        <v>процентное ежемесячное распределение инфляции по себестоимости ГП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1" customFormat="1" ht="10.199999999999999" x14ac:dyDescent="0.2">
      <c r="A87" s="5"/>
      <c r="B87" s="5"/>
      <c r="C87" s="5"/>
      <c r="D87" s="5"/>
      <c r="E87" s="5"/>
      <c r="F87" s="5" t="str">
        <f>$F$86</f>
        <v>процентное ежемесячное распределение инфляции по себестоимости ГП</v>
      </c>
      <c r="G87" s="5"/>
      <c r="H87" s="5"/>
      <c r="I87" s="5"/>
      <c r="J87" s="5" t="str">
        <f>IF($F87="","",INDEX(KPI!$I$11:$I$275,SUMIFS(KPI!$E$11:$E$275,KPI!$F$11:$F$275,$F87)))</f>
        <v>%</v>
      </c>
      <c r="K87" s="5"/>
      <c r="L87" s="5">
        <f>IF($F87="","",структура!$J$11)</f>
        <v>1</v>
      </c>
      <c r="M87" s="5" t="str">
        <f>IF($F87="","",структура!$M$11)</f>
        <v>янв</v>
      </c>
      <c r="N87" s="5"/>
      <c r="O87" s="5"/>
      <c r="P87" s="31" t="str">
        <f t="shared" ref="P87:P97" si="13">IF($F87="","","*")</f>
        <v>*</v>
      </c>
      <c r="Q87" s="9">
        <v>0.1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1" customFormat="1" ht="10.199999999999999" x14ac:dyDescent="0.2">
      <c r="A88" s="5"/>
      <c r="B88" s="5"/>
      <c r="C88" s="5"/>
      <c r="D88" s="5"/>
      <c r="E88" s="5"/>
      <c r="F88" s="5" t="str">
        <f t="shared" ref="F88:F98" si="14">$F$86</f>
        <v>процентное ежемесячное распределение инфляции по себестоимости ГП</v>
      </c>
      <c r="G88" s="5"/>
      <c r="H88" s="5"/>
      <c r="I88" s="5"/>
      <c r="J88" s="5" t="str">
        <f>IF($F88="","",INDEX(KPI!$I$11:$I$275,SUMIFS(KPI!$E$11:$E$275,KPI!$F$11:$F$275,$F88)))</f>
        <v>%</v>
      </c>
      <c r="K88" s="5"/>
      <c r="L88" s="5">
        <f>IF($F88="","",структура!$J$12)</f>
        <v>2</v>
      </c>
      <c r="M88" s="5" t="str">
        <f>IF($F88="","",структура!$M$12)</f>
        <v>фев</v>
      </c>
      <c r="N88" s="5"/>
      <c r="O88" s="5"/>
      <c r="P88" s="31" t="str">
        <f t="shared" si="13"/>
        <v>*</v>
      </c>
      <c r="Q88" s="9">
        <v>0.05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1" customFormat="1" ht="10.199999999999999" x14ac:dyDescent="0.2">
      <c r="A89" s="5"/>
      <c r="B89" s="5"/>
      <c r="C89" s="5"/>
      <c r="D89" s="5"/>
      <c r="E89" s="5"/>
      <c r="F89" s="5" t="str">
        <f t="shared" si="14"/>
        <v>процентное ежемесячное распределение инфляции по себестоимости ГП</v>
      </c>
      <c r="G89" s="5"/>
      <c r="H89" s="5"/>
      <c r="I89" s="5"/>
      <c r="J89" s="5" t="str">
        <f>IF($F89="","",INDEX(KPI!$I$11:$I$275,SUMIFS(KPI!$E$11:$E$275,KPI!$F$11:$F$275,$F89)))</f>
        <v>%</v>
      </c>
      <c r="K89" s="5"/>
      <c r="L89" s="5">
        <f>IF($F89="","",структура!$J$13)</f>
        <v>3</v>
      </c>
      <c r="M89" s="5" t="str">
        <f>IF($F89="","",структура!$M$13)</f>
        <v>мар</v>
      </c>
      <c r="N89" s="5"/>
      <c r="O89" s="5"/>
      <c r="P89" s="31" t="str">
        <f t="shared" si="13"/>
        <v>*</v>
      </c>
      <c r="Q89" s="9">
        <v>0.1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1" customFormat="1" ht="10.199999999999999" x14ac:dyDescent="0.2">
      <c r="A90" s="5"/>
      <c r="B90" s="5"/>
      <c r="C90" s="5"/>
      <c r="D90" s="5"/>
      <c r="E90" s="5"/>
      <c r="F90" s="5" t="str">
        <f t="shared" si="14"/>
        <v>процентное ежемесячное распределение инфляции по себестоимости ГП</v>
      </c>
      <c r="G90" s="5"/>
      <c r="H90" s="5"/>
      <c r="I90" s="5"/>
      <c r="J90" s="5" t="str">
        <f>IF($F90="","",INDEX(KPI!$I$11:$I$275,SUMIFS(KPI!$E$11:$E$275,KPI!$F$11:$F$275,$F90)))</f>
        <v>%</v>
      </c>
      <c r="K90" s="5"/>
      <c r="L90" s="5">
        <f>IF($F90="","",структура!$J$14)</f>
        <v>4</v>
      </c>
      <c r="M90" s="5" t="str">
        <f>IF($F90="","",структура!$M$14)</f>
        <v>апр</v>
      </c>
      <c r="N90" s="5"/>
      <c r="O90" s="5"/>
      <c r="P90" s="31" t="str">
        <f t="shared" si="13"/>
        <v>*</v>
      </c>
      <c r="Q90" s="9">
        <v>-0.03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1" customFormat="1" ht="10.199999999999999" x14ac:dyDescent="0.2">
      <c r="A91" s="5"/>
      <c r="B91" s="5"/>
      <c r="C91" s="5"/>
      <c r="D91" s="5"/>
      <c r="E91" s="5"/>
      <c r="F91" s="5" t="str">
        <f t="shared" si="14"/>
        <v>процентное ежемесячное распределение инфляции по себестоимости ГП</v>
      </c>
      <c r="G91" s="5"/>
      <c r="H91" s="5"/>
      <c r="I91" s="5"/>
      <c r="J91" s="5" t="str">
        <f>IF($F91="","",INDEX(KPI!$I$11:$I$275,SUMIFS(KPI!$E$11:$E$275,KPI!$F$11:$F$275,$F91)))</f>
        <v>%</v>
      </c>
      <c r="K91" s="5"/>
      <c r="L91" s="5">
        <f>IF($F91="","",структура!$J$15)</f>
        <v>5</v>
      </c>
      <c r="M91" s="5" t="str">
        <f>IF($F91="","",структура!$M$15)</f>
        <v>май</v>
      </c>
      <c r="N91" s="5"/>
      <c r="O91" s="5"/>
      <c r="P91" s="31" t="str">
        <f t="shared" si="13"/>
        <v>*</v>
      </c>
      <c r="Q91" s="9">
        <v>-0.02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1" customFormat="1" ht="10.199999999999999" x14ac:dyDescent="0.2">
      <c r="A92" s="5"/>
      <c r="B92" s="5"/>
      <c r="C92" s="5"/>
      <c r="D92" s="5"/>
      <c r="E92" s="5"/>
      <c r="F92" s="5" t="str">
        <f t="shared" si="14"/>
        <v>процентное ежемесячное распределение инфляции по себестоимости ГП</v>
      </c>
      <c r="G92" s="5"/>
      <c r="H92" s="5"/>
      <c r="I92" s="5"/>
      <c r="J92" s="5" t="str">
        <f>IF($F92="","",INDEX(KPI!$I$11:$I$275,SUMIFS(KPI!$E$11:$E$275,KPI!$F$11:$F$275,$F92)))</f>
        <v>%</v>
      </c>
      <c r="K92" s="5"/>
      <c r="L92" s="5">
        <f>IF($F92="","",структура!$J$16)</f>
        <v>6</v>
      </c>
      <c r="M92" s="5" t="str">
        <f>IF($F92="","",структура!$M$16)</f>
        <v>июн</v>
      </c>
      <c r="N92" s="5"/>
      <c r="O92" s="5"/>
      <c r="P92" s="31" t="str">
        <f t="shared" si="13"/>
        <v>*</v>
      </c>
      <c r="Q92" s="9">
        <v>-0.02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1" customFormat="1" ht="10.199999999999999" x14ac:dyDescent="0.2">
      <c r="A93" s="5"/>
      <c r="B93" s="5"/>
      <c r="C93" s="5"/>
      <c r="D93" s="5"/>
      <c r="E93" s="5"/>
      <c r="F93" s="5" t="str">
        <f t="shared" si="14"/>
        <v>процентное ежемесячное распределение инфляции по себестоимости ГП</v>
      </c>
      <c r="G93" s="5"/>
      <c r="H93" s="5"/>
      <c r="I93" s="5"/>
      <c r="J93" s="5" t="str">
        <f>IF($F93="","",INDEX(KPI!$I$11:$I$275,SUMIFS(KPI!$E$11:$E$275,KPI!$F$11:$F$275,$F93)))</f>
        <v>%</v>
      </c>
      <c r="K93" s="5"/>
      <c r="L93" s="5">
        <f>IF($F93="","",структура!$J$17)</f>
        <v>7</v>
      </c>
      <c r="M93" s="5" t="str">
        <f>IF($F93="","",структура!$M$17)</f>
        <v>июл</v>
      </c>
      <c r="N93" s="5"/>
      <c r="O93" s="5"/>
      <c r="P93" s="31" t="str">
        <f t="shared" si="13"/>
        <v>*</v>
      </c>
      <c r="Q93" s="9">
        <v>0.05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1" customFormat="1" ht="10.199999999999999" x14ac:dyDescent="0.2">
      <c r="A94" s="5"/>
      <c r="B94" s="5"/>
      <c r="C94" s="5"/>
      <c r="D94" s="5"/>
      <c r="E94" s="5"/>
      <c r="F94" s="5" t="str">
        <f t="shared" si="14"/>
        <v>процентное ежемесячное распределение инфляции по себестоимости ГП</v>
      </c>
      <c r="G94" s="5"/>
      <c r="H94" s="5"/>
      <c r="I94" s="5"/>
      <c r="J94" s="5" t="str">
        <f>IF($F94="","",INDEX(KPI!$I$11:$I$275,SUMIFS(KPI!$E$11:$E$275,KPI!$F$11:$F$275,$F94)))</f>
        <v>%</v>
      </c>
      <c r="K94" s="5"/>
      <c r="L94" s="5">
        <f>IF($F94="","",структура!$J$18)</f>
        <v>8</v>
      </c>
      <c r="M94" s="5" t="str">
        <f>IF($F94="","",структура!$M$18)</f>
        <v>авг</v>
      </c>
      <c r="N94" s="5"/>
      <c r="O94" s="5"/>
      <c r="P94" s="31" t="str">
        <f t="shared" si="13"/>
        <v>*</v>
      </c>
      <c r="Q94" s="9">
        <v>0.05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1" customFormat="1" ht="10.199999999999999" x14ac:dyDescent="0.2">
      <c r="A95" s="5"/>
      <c r="B95" s="5"/>
      <c r="C95" s="5"/>
      <c r="D95" s="5"/>
      <c r="E95" s="5"/>
      <c r="F95" s="5" t="str">
        <f t="shared" si="14"/>
        <v>процентное ежемесячное распределение инфляции по себестоимости ГП</v>
      </c>
      <c r="G95" s="5"/>
      <c r="H95" s="5"/>
      <c r="I95" s="5"/>
      <c r="J95" s="5" t="str">
        <f>IF($F95="","",INDEX(KPI!$I$11:$I$275,SUMIFS(KPI!$E$11:$E$275,KPI!$F$11:$F$275,$F95)))</f>
        <v>%</v>
      </c>
      <c r="K95" s="5"/>
      <c r="L95" s="5">
        <f>IF($F95="","",структура!$J$19)</f>
        <v>9</v>
      </c>
      <c r="M95" s="5" t="str">
        <f>IF($F95="","",структура!$M$19)</f>
        <v>сен</v>
      </c>
      <c r="N95" s="5"/>
      <c r="O95" s="5"/>
      <c r="P95" s="31" t="str">
        <f t="shared" si="13"/>
        <v>*</v>
      </c>
      <c r="Q95" s="9">
        <v>0.1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1" customFormat="1" ht="10.199999999999999" x14ac:dyDescent="0.2">
      <c r="A96" s="5"/>
      <c r="B96" s="5"/>
      <c r="C96" s="5"/>
      <c r="D96" s="5"/>
      <c r="E96" s="5"/>
      <c r="F96" s="5" t="str">
        <f t="shared" si="14"/>
        <v>процентное ежемесячное распределение инфляции по себестоимости ГП</v>
      </c>
      <c r="G96" s="5"/>
      <c r="H96" s="5"/>
      <c r="I96" s="5"/>
      <c r="J96" s="5" t="str">
        <f>IF($F96="","",INDEX(KPI!$I$11:$I$275,SUMIFS(KPI!$E$11:$E$275,KPI!$F$11:$F$275,$F96)))</f>
        <v>%</v>
      </c>
      <c r="K96" s="5"/>
      <c r="L96" s="5">
        <f>IF($F96="","",структура!$J$20)</f>
        <v>10</v>
      </c>
      <c r="M96" s="5" t="str">
        <f>IF($F96="","",структура!$M$20)</f>
        <v>окт</v>
      </c>
      <c r="N96" s="5"/>
      <c r="O96" s="5"/>
      <c r="P96" s="31" t="str">
        <f t="shared" si="13"/>
        <v>*</v>
      </c>
      <c r="Q96" s="9">
        <v>0.2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s="1" customFormat="1" ht="10.199999999999999" x14ac:dyDescent="0.2">
      <c r="A97" s="5"/>
      <c r="B97" s="5"/>
      <c r="C97" s="5"/>
      <c r="D97" s="5"/>
      <c r="E97" s="5"/>
      <c r="F97" s="5" t="str">
        <f t="shared" si="14"/>
        <v>процентное ежемесячное распределение инфляции по себестоимости ГП</v>
      </c>
      <c r="G97" s="5"/>
      <c r="H97" s="5"/>
      <c r="I97" s="5"/>
      <c r="J97" s="5" t="str">
        <f>IF($F97="","",INDEX(KPI!$I$11:$I$275,SUMIFS(KPI!$E$11:$E$275,KPI!$F$11:$F$275,$F97)))</f>
        <v>%</v>
      </c>
      <c r="K97" s="5"/>
      <c r="L97" s="5">
        <f>IF($F97="","",структура!$J$21)</f>
        <v>11</v>
      </c>
      <c r="M97" s="5" t="str">
        <f>IF($F97="","",структура!$M$21)</f>
        <v>ноя</v>
      </c>
      <c r="N97" s="5"/>
      <c r="O97" s="5"/>
      <c r="P97" s="31" t="str">
        <f t="shared" si="13"/>
        <v>*</v>
      </c>
      <c r="Q97" s="9">
        <v>0.2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1" customFormat="1" ht="10.199999999999999" x14ac:dyDescent="0.2">
      <c r="A98" s="5"/>
      <c r="B98" s="5"/>
      <c r="C98" s="5"/>
      <c r="D98" s="5"/>
      <c r="E98" s="5"/>
      <c r="F98" s="5" t="str">
        <f t="shared" si="14"/>
        <v>процентное ежемесячное распределение инфляции по себестоимости ГП</v>
      </c>
      <c r="G98" s="5"/>
      <c r="H98" s="5"/>
      <c r="I98" s="5"/>
      <c r="J98" s="5" t="str">
        <f>IF($F98="","",INDEX(KPI!$I$11:$I$275,SUMIFS(KPI!$E$11:$E$275,KPI!$F$11:$F$275,$F98)))</f>
        <v>%</v>
      </c>
      <c r="K98" s="5"/>
      <c r="L98" s="5">
        <f>IF($F98="","",структура!$J$22)</f>
        <v>12</v>
      </c>
      <c r="M98" s="5" t="str">
        <f>IF($F98="","",структура!$M$22)</f>
        <v>дек</v>
      </c>
      <c r="N98" s="5"/>
      <c r="O98" s="5"/>
      <c r="P98" s="5"/>
      <c r="Q98" s="48">
        <f>100%-SUM(Q87:Q97)</f>
        <v>0.21999999999999997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25">
      <c r="A100" s="3"/>
      <c r="B100" s="3"/>
      <c r="C100" s="3"/>
      <c r="D100" s="3"/>
      <c r="E100" s="3"/>
      <c r="F100" s="3" t="str">
        <f>KPI!$F$42</f>
        <v>предельный ежемесячный объем закупки СиМ для скидки от поставщиков</v>
      </c>
      <c r="G100" s="3"/>
      <c r="H100" s="3"/>
      <c r="I100" s="3"/>
      <c r="J100" s="3" t="str">
        <f>IF($F100="","",INDEX(KPI!$I$11:$I$275,SUMIFS(KPI!$E$11:$E$275,KPI!$F$11:$F$275,$F100)))</f>
        <v>ед. ГП</v>
      </c>
      <c r="K100" s="3"/>
      <c r="L100" s="3"/>
      <c r="M100" s="3"/>
      <c r="N100" s="3"/>
      <c r="O100" s="3"/>
      <c r="P100" s="22" t="str">
        <f>IF($F100="","","*")</f>
        <v>*</v>
      </c>
      <c r="Q100" s="53">
        <v>150000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A102" s="3"/>
      <c r="B102" s="3"/>
      <c r="C102" s="3"/>
      <c r="D102" s="3"/>
      <c r="E102" s="3"/>
      <c r="F102" s="3" t="str">
        <f>KPI!$F$43</f>
        <v>%-нт скидки от поставщиков СиМ при превышении предельного объема закупки</v>
      </c>
      <c r="G102" s="3"/>
      <c r="H102" s="3"/>
      <c r="I102" s="3"/>
      <c r="J102" s="3" t="str">
        <f>IF($F102="","",INDEX(KPI!$I$11:$I$275,SUMIFS(KPI!$E$11:$E$275,KPI!$F$11:$F$275,$F102)))</f>
        <v>%</v>
      </c>
      <c r="K102" s="3"/>
      <c r="L102" s="3"/>
      <c r="M102" s="3"/>
      <c r="N102" s="3"/>
      <c r="O102" s="3"/>
      <c r="P102" s="22" t="str">
        <f>IF($F102="","","*")</f>
        <v>*</v>
      </c>
      <c r="Q102" s="9">
        <v>0.1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11" customFormat="1" x14ac:dyDescent="0.25">
      <c r="A104" s="10"/>
      <c r="B104" s="10"/>
      <c r="C104" s="10"/>
      <c r="D104" s="10"/>
      <c r="E104" s="10"/>
      <c r="F104" s="10" t="str">
        <f>KPI!$F$46</f>
        <v>торговая наценка к себестоимости ГП без учета скидок</v>
      </c>
      <c r="G104" s="10"/>
      <c r="H104" s="10"/>
      <c r="I104" s="10"/>
      <c r="J104" s="10" t="str">
        <f>IF($F104="","",INDEX(KPI!$I$11:$I$275,SUMIFS(KPI!$E$11:$E$275,KPI!$F$11:$F$275,$F104)))</f>
        <v>%</v>
      </c>
      <c r="K104" s="10"/>
      <c r="L104" s="10"/>
      <c r="M104" s="10"/>
      <c r="N104" s="10"/>
      <c r="O104" s="10"/>
      <c r="P104" s="10"/>
      <c r="Q104" s="10"/>
      <c r="R104" s="10"/>
      <c r="S104" s="22" t="str">
        <f>IF($F104="","","*")</f>
        <v>*</v>
      </c>
      <c r="T104" s="51">
        <v>0.15</v>
      </c>
      <c r="U104" s="51">
        <v>0.18</v>
      </c>
      <c r="V104" s="51">
        <v>0.2</v>
      </c>
      <c r="W104" s="51">
        <v>0.22</v>
      </c>
      <c r="X104" s="51">
        <v>0.22</v>
      </c>
      <c r="Y104" s="51">
        <v>0.25</v>
      </c>
      <c r="Z104" s="51">
        <v>0.25</v>
      </c>
      <c r="AA104" s="51">
        <v>0.25</v>
      </c>
      <c r="AB104" s="51">
        <v>0.25</v>
      </c>
      <c r="AC104" s="51">
        <v>0.25</v>
      </c>
      <c r="AD104" s="10"/>
      <c r="AE104" s="10"/>
    </row>
    <row r="105" spans="1:3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11" customFormat="1" x14ac:dyDescent="0.25">
      <c r="A106" s="10"/>
      <c r="B106" s="10"/>
      <c r="C106" s="10"/>
      <c r="D106" s="10"/>
      <c r="E106" s="10"/>
      <c r="F106" s="10" t="str">
        <f>KPI!$F$50</f>
        <v>%-нт кап. затрат на масштабирование производства от начальных кап. затрат</v>
      </c>
      <c r="G106" s="10"/>
      <c r="H106" s="10"/>
      <c r="I106" s="10"/>
      <c r="J106" s="10" t="str">
        <f>IF($F106="","",INDEX(KPI!$I$11:$I$275,SUMIFS(KPI!$E$11:$E$275,KPI!$F$11:$F$275,$F106)))</f>
        <v>%</v>
      </c>
      <c r="K106" s="10"/>
      <c r="L106" s="10"/>
      <c r="M106" s="10"/>
      <c r="N106" s="10"/>
      <c r="O106" s="10"/>
      <c r="P106" s="22" t="str">
        <f>IF($F106="","","*")</f>
        <v>*</v>
      </c>
      <c r="Q106" s="51">
        <v>0.7</v>
      </c>
      <c r="R106" s="10"/>
      <c r="S106" s="10"/>
      <c r="T106" s="54">
        <f>Q106</f>
        <v>0.7</v>
      </c>
      <c r="U106" s="54">
        <f>T106*(1+T108)</f>
        <v>0.749</v>
      </c>
      <c r="V106" s="54">
        <f>U106*(1+U108)</f>
        <v>0.80143000000000009</v>
      </c>
      <c r="W106" s="54">
        <f t="shared" ref="W106" si="15">V106*(1+V108)</f>
        <v>0.85753010000000018</v>
      </c>
      <c r="X106" s="54">
        <f t="shared" ref="X106" si="16">W106*(1+W108)</f>
        <v>0.90898190600000028</v>
      </c>
      <c r="Y106" s="54">
        <f t="shared" ref="Y106" si="17">X106*(1+X108)</f>
        <v>0.96352082036000031</v>
      </c>
      <c r="Z106" s="54">
        <f t="shared" ref="Z106" si="18">Y106*(1+Y108)</f>
        <v>1.0213320695816004</v>
      </c>
      <c r="AA106" s="54">
        <f t="shared" ref="AA106" si="19">Z106*(1+Z108)</f>
        <v>1.0723986730606805</v>
      </c>
      <c r="AB106" s="54">
        <f t="shared" ref="AB106" si="20">AA106*(1+AA108)</f>
        <v>1.1152946199831077</v>
      </c>
      <c r="AC106" s="54">
        <f>AB106*(1+AB108)</f>
        <v>1.1376005123827699</v>
      </c>
      <c r="AD106" s="10"/>
      <c r="AE106" s="10"/>
    </row>
    <row r="107" spans="1:3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11" customFormat="1" x14ac:dyDescent="0.25">
      <c r="A108" s="10"/>
      <c r="B108" s="10"/>
      <c r="C108" s="10"/>
      <c r="D108" s="10"/>
      <c r="E108" s="10"/>
      <c r="F108" s="10" t="str">
        <f>KPI!$F$51</f>
        <v>ожидаемая инфляция в разрезе кап. затрат на масштабирование производства</v>
      </c>
      <c r="G108" s="10"/>
      <c r="H108" s="10"/>
      <c r="I108" s="10"/>
      <c r="J108" s="10" t="str">
        <f>IF($F108="","",INDEX(KPI!$I$11:$I$275,SUMIFS(KPI!$E$11:$E$275,KPI!$F$11:$F$275,$F108)))</f>
        <v>%</v>
      </c>
      <c r="K108" s="10"/>
      <c r="L108" s="10"/>
      <c r="M108" s="10"/>
      <c r="N108" s="10"/>
      <c r="O108" s="10"/>
      <c r="P108" s="10"/>
      <c r="Q108" s="10"/>
      <c r="R108" s="10"/>
      <c r="S108" s="22" t="str">
        <f>IF($F108="","","*")</f>
        <v>*</v>
      </c>
      <c r="T108" s="51">
        <v>7.0000000000000007E-2</v>
      </c>
      <c r="U108" s="51">
        <v>7.0000000000000007E-2</v>
      </c>
      <c r="V108" s="51">
        <v>7.0000000000000007E-2</v>
      </c>
      <c r="W108" s="51">
        <v>0.06</v>
      </c>
      <c r="X108" s="51">
        <v>0.06</v>
      </c>
      <c r="Y108" s="51">
        <v>0.06</v>
      </c>
      <c r="Z108" s="51">
        <v>0.05</v>
      </c>
      <c r="AA108" s="51">
        <v>0.04</v>
      </c>
      <c r="AB108" s="51">
        <v>0.02</v>
      </c>
      <c r="AC108" s="51">
        <v>0.01</v>
      </c>
      <c r="AD108" s="10"/>
      <c r="AE108" s="10"/>
    </row>
    <row r="109" spans="1:3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A110" s="3"/>
      <c r="B110" s="3"/>
      <c r="C110" s="3"/>
      <c r="D110" s="3"/>
      <c r="E110" s="3"/>
      <c r="F110" s="3" t="str">
        <f>KPI!$F$63</f>
        <v>доля расходов на аутсорсинг склада СиМ от себестоимости ГП</v>
      </c>
      <c r="G110" s="3"/>
      <c r="H110" s="3"/>
      <c r="I110" s="3"/>
      <c r="J110" s="3" t="str">
        <f>IF($F110="","",INDEX(KPI!$I$11:$I$275,SUMIFS(KPI!$E$11:$E$275,KPI!$F$11:$F$275,$F110)))</f>
        <v>%</v>
      </c>
      <c r="K110" s="3"/>
      <c r="L110" s="3"/>
      <c r="M110" s="3"/>
      <c r="N110" s="3"/>
      <c r="O110" s="3"/>
      <c r="P110" s="22" t="str">
        <f>IF($F110="","","*")</f>
        <v>*</v>
      </c>
      <c r="Q110" s="8">
        <v>0.01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A112" s="3"/>
      <c r="B112" s="3"/>
      <c r="C112" s="3"/>
      <c r="D112" s="3"/>
      <c r="E112" s="3"/>
      <c r="F112" s="3" t="str">
        <f>KPI!$F$64</f>
        <v>доля расходов на аутсорсинг склада ГП от себестоимости ГП</v>
      </c>
      <c r="G112" s="3"/>
      <c r="H112" s="3"/>
      <c r="I112" s="3"/>
      <c r="J112" s="3" t="str">
        <f>IF($F112="","",INDEX(KPI!$I$11:$I$275,SUMIFS(KPI!$E$11:$E$275,KPI!$F$11:$F$275,$F112)))</f>
        <v>%</v>
      </c>
      <c r="K112" s="3"/>
      <c r="L112" s="3"/>
      <c r="M112" s="3"/>
      <c r="N112" s="3"/>
      <c r="O112" s="3"/>
      <c r="P112" s="22" t="str">
        <f>IF($F112="","","*")</f>
        <v>*</v>
      </c>
      <c r="Q112" s="8">
        <v>0.02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5">
      <c r="A114" s="3"/>
      <c r="B114" s="3"/>
      <c r="C114" s="3"/>
      <c r="D114" s="3"/>
      <c r="E114" s="3"/>
      <c r="F114" s="3" t="str">
        <f>KPI!$F$67</f>
        <v>доля постоянных расходов на ТО производства от кап. затрат</v>
      </c>
      <c r="G114" s="3"/>
      <c r="H114" s="3"/>
      <c r="I114" s="3"/>
      <c r="J114" s="3" t="str">
        <f>IF($F114="","",INDEX(KPI!$I$11:$I$275,SUMIFS(KPI!$E$11:$E$275,KPI!$F$11:$F$275,$F114)))</f>
        <v>%</v>
      </c>
      <c r="K114" s="3"/>
      <c r="L114" s="3"/>
      <c r="M114" s="3"/>
      <c r="N114" s="3"/>
      <c r="O114" s="3"/>
      <c r="P114" s="22" t="str">
        <f>IF($F114="","","*")</f>
        <v>*</v>
      </c>
      <c r="Q114" s="8">
        <v>2E-3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5">
      <c r="A116" s="3"/>
      <c r="B116" s="3"/>
      <c r="C116" s="3"/>
      <c r="D116" s="3"/>
      <c r="E116" s="3"/>
      <c r="F116" s="3" t="str">
        <f>KPI!$F$69</f>
        <v>доля переменных расходов на ТО производства от производства ГП</v>
      </c>
      <c r="G116" s="3"/>
      <c r="H116" s="3"/>
      <c r="I116" s="3"/>
      <c r="J116" s="3" t="str">
        <f>IF($F116="","",INDEX(KPI!$I$11:$I$275,SUMIFS(KPI!$E$11:$E$275,KPI!$F$11:$F$275,$F116)))</f>
        <v>%</v>
      </c>
      <c r="K116" s="3"/>
      <c r="L116" s="3"/>
      <c r="M116" s="3"/>
      <c r="N116" s="3"/>
      <c r="O116" s="3"/>
      <c r="P116" s="22" t="str">
        <f>IF($F116="","","*")</f>
        <v>*</v>
      </c>
      <c r="Q116" s="8">
        <v>5.0000000000000001E-3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5">
      <c r="A118" s="3"/>
      <c r="B118" s="3"/>
      <c r="C118" s="3"/>
      <c r="D118" s="3"/>
      <c r="E118" s="3"/>
      <c r="F118" s="3" t="str">
        <f>KPI!$F$71</f>
        <v>доля постоянных коммунальных расходов пр-ва от кап. затрат</v>
      </c>
      <c r="G118" s="3"/>
      <c r="H118" s="3"/>
      <c r="I118" s="3"/>
      <c r="J118" s="3" t="str">
        <f>IF($F118="","",INDEX(KPI!$I$11:$I$275,SUMIFS(KPI!$E$11:$E$275,KPI!$F$11:$F$275,$F118)))</f>
        <v>%</v>
      </c>
      <c r="K118" s="3"/>
      <c r="L118" s="3"/>
      <c r="M118" s="3"/>
      <c r="N118" s="3"/>
      <c r="O118" s="3"/>
      <c r="P118" s="22" t="str">
        <f>IF($F118="","","*")</f>
        <v>*</v>
      </c>
      <c r="Q118" s="8">
        <v>0.01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5">
      <c r="A120" s="3"/>
      <c r="B120" s="3"/>
      <c r="C120" s="3"/>
      <c r="D120" s="3"/>
      <c r="E120" s="3"/>
      <c r="F120" s="3" t="str">
        <f>KPI!$F$73</f>
        <v>доля переменных коммунальных расходов пр-ва от производства ГП</v>
      </c>
      <c r="G120" s="3"/>
      <c r="H120" s="3"/>
      <c r="I120" s="3"/>
      <c r="J120" s="3" t="str">
        <f>IF($F120="","",INDEX(KPI!$I$11:$I$275,SUMIFS(KPI!$E$11:$E$275,KPI!$F$11:$F$275,$F120)))</f>
        <v>%</v>
      </c>
      <c r="K120" s="3"/>
      <c r="L120" s="3"/>
      <c r="M120" s="3"/>
      <c r="N120" s="3"/>
      <c r="O120" s="3"/>
      <c r="P120" s="22" t="str">
        <f>IF($F120="","","*")</f>
        <v>*</v>
      </c>
      <c r="Q120" s="8">
        <v>0.04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x14ac:dyDescent="0.25">
      <c r="A122" s="3"/>
      <c r="B122" s="3"/>
      <c r="C122" s="3"/>
      <c r="D122" s="3"/>
      <c r="E122" s="3"/>
      <c r="F122" s="3" t="str">
        <f>KPI!$F$75</f>
        <v>доля прочих постоянных расходов производства от кап. затрат</v>
      </c>
      <c r="G122" s="3"/>
      <c r="H122" s="3"/>
      <c r="I122" s="3"/>
      <c r="J122" s="3" t="str">
        <f>IF($F122="","",INDEX(KPI!$I$11:$I$275,SUMIFS(KPI!$E$11:$E$275,KPI!$F$11:$F$275,$F122)))</f>
        <v>%</v>
      </c>
      <c r="K122" s="3"/>
      <c r="L122" s="3"/>
      <c r="M122" s="3"/>
      <c r="N122" s="3"/>
      <c r="O122" s="3"/>
      <c r="P122" s="22" t="str">
        <f>IF($F122="","","*")</f>
        <v>*</v>
      </c>
      <c r="Q122" s="56">
        <v>2.9999999999999997E-4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x14ac:dyDescent="0.25">
      <c r="A124" s="3"/>
      <c r="B124" s="3"/>
      <c r="C124" s="3"/>
      <c r="D124" s="3"/>
      <c r="E124" s="3"/>
      <c r="F124" s="3" t="str">
        <f>KPI!$F$77</f>
        <v>доля прочих переменных расходов пр-ва от производства ГП</v>
      </c>
      <c r="G124" s="3"/>
      <c r="H124" s="3"/>
      <c r="I124" s="3"/>
      <c r="J124" s="3" t="str">
        <f>IF($F124="","",INDEX(KPI!$I$11:$I$275,SUMIFS(KPI!$E$11:$E$275,KPI!$F$11:$F$275,$F124)))</f>
        <v>%</v>
      </c>
      <c r="K124" s="3"/>
      <c r="L124" s="3"/>
      <c r="M124" s="3"/>
      <c r="N124" s="3"/>
      <c r="O124" s="3"/>
      <c r="P124" s="22" t="str">
        <f>IF($F124="","","*")</f>
        <v>*</v>
      </c>
      <c r="Q124" s="56">
        <v>6.9999999999999999E-4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25">
      <c r="A126" s="3"/>
      <c r="B126" s="3"/>
      <c r="C126" s="3"/>
      <c r="D126" s="3"/>
      <c r="E126" s="3"/>
      <c r="F126" s="3" t="str">
        <f>KPI!$F$79</f>
        <v>емкость 1-ого транспортного средства (ТС) исходящей логистики в единицах ГП</v>
      </c>
      <c r="G126" s="3"/>
      <c r="H126" s="3"/>
      <c r="I126" s="3"/>
      <c r="J126" s="3" t="str">
        <f>IF($F126="","",INDEX(KPI!$I$11:$I$275,SUMIFS(KPI!$E$11:$E$275,KPI!$F$11:$F$275,$F126)))</f>
        <v>ед. ГП</v>
      </c>
      <c r="K126" s="3"/>
      <c r="L126" s="3"/>
      <c r="M126" s="3"/>
      <c r="N126" s="3"/>
      <c r="O126" s="3"/>
      <c r="P126" s="22" t="str">
        <f>IF($F126="","","*")</f>
        <v>*</v>
      </c>
      <c r="Q126" s="6">
        <v>5000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x14ac:dyDescent="0.25">
      <c r="A128" s="3"/>
      <c r="B128" s="3"/>
      <c r="C128" s="3"/>
      <c r="D128" s="3"/>
      <c r="E128" s="3"/>
      <c r="F128" s="3" t="str">
        <f>KPI!$F$80</f>
        <v>расходы аутсорсинга исходящей логистики на одно ТС</v>
      </c>
      <c r="G128" s="3"/>
      <c r="H128" s="3"/>
      <c r="I128" s="3"/>
      <c r="J128" s="3" t="str">
        <f>IF($F128="","",INDEX(KPI!$I$11:$I$275,SUMIFS(KPI!$E$11:$E$275,KPI!$F$11:$F$275,$F128)))</f>
        <v>руб.</v>
      </c>
      <c r="K128" s="3"/>
      <c r="L128" s="3"/>
      <c r="M128" s="3"/>
      <c r="N128" s="3"/>
      <c r="O128" s="3"/>
      <c r="P128" s="22" t="str">
        <f>IF($F128="","","*")</f>
        <v>*</v>
      </c>
      <c r="Q128" s="6">
        <v>3000</v>
      </c>
      <c r="R128" s="3"/>
      <c r="S128" s="3"/>
      <c r="T128" s="58">
        <f>Q128</f>
        <v>3000</v>
      </c>
      <c r="U128" s="58">
        <f>T128*(1+T130)</f>
        <v>3360.0000000000005</v>
      </c>
      <c r="V128" s="58">
        <f>U128*(1+U130)</f>
        <v>3763.2000000000007</v>
      </c>
      <c r="W128" s="58">
        <f t="shared" ref="W128" si="21">V128*(1+V130)</f>
        <v>4139.5200000000013</v>
      </c>
      <c r="X128" s="58">
        <f t="shared" ref="X128" si="22">W128*(1+W130)</f>
        <v>4553.4720000000016</v>
      </c>
      <c r="Y128" s="58">
        <f t="shared" ref="Y128" si="23">X128*(1+X130)</f>
        <v>5008.8192000000017</v>
      </c>
      <c r="Z128" s="58">
        <f t="shared" ref="Z128" si="24">Y128*(1+Y130)</f>
        <v>5509.7011200000024</v>
      </c>
      <c r="AA128" s="58">
        <f t="shared" ref="AA128" si="25">Z128*(1+Z130)</f>
        <v>6005.5742208000029</v>
      </c>
      <c r="AB128" s="58">
        <f t="shared" ref="AB128" si="26">AA128*(1+AA130)</f>
        <v>6546.0759006720036</v>
      </c>
      <c r="AC128" s="58">
        <f>AB128*(1+AB130)</f>
        <v>7069.7619727257643</v>
      </c>
      <c r="AD128" s="3"/>
      <c r="AE128" s="3"/>
    </row>
    <row r="129" spans="1:3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x14ac:dyDescent="0.25">
      <c r="A130" s="3"/>
      <c r="B130" s="3"/>
      <c r="C130" s="3"/>
      <c r="D130" s="3"/>
      <c r="E130" s="3"/>
      <c r="F130" s="3" t="str">
        <f>KPI!$F$81</f>
        <v>ожидаемая инфляция в разрезе аутсорсинга исходящей логистики</v>
      </c>
      <c r="G130" s="3"/>
      <c r="H130" s="3"/>
      <c r="I130" s="3"/>
      <c r="J130" s="3" t="str">
        <f>IF($F130="","",INDEX(KPI!$I$11:$I$275,SUMIFS(KPI!$E$11:$E$275,KPI!$F$11:$F$275,$F130)))</f>
        <v>%</v>
      </c>
      <c r="K130" s="3"/>
      <c r="L130" s="3"/>
      <c r="M130" s="3"/>
      <c r="N130" s="3"/>
      <c r="O130" s="3"/>
      <c r="P130" s="3"/>
      <c r="Q130" s="3"/>
      <c r="R130" s="3"/>
      <c r="S130" s="22" t="str">
        <f>IF($F130="","","*")</f>
        <v>*</v>
      </c>
      <c r="T130" s="57">
        <v>0.12</v>
      </c>
      <c r="U130" s="57">
        <v>0.12</v>
      </c>
      <c r="V130" s="57">
        <v>0.1</v>
      </c>
      <c r="W130" s="57">
        <v>0.1</v>
      </c>
      <c r="X130" s="57">
        <v>0.1</v>
      </c>
      <c r="Y130" s="57">
        <v>0.1</v>
      </c>
      <c r="Z130" s="57">
        <v>0.09</v>
      </c>
      <c r="AA130" s="57">
        <v>0.09</v>
      </c>
      <c r="AB130" s="57">
        <v>0.08</v>
      </c>
      <c r="AC130" s="57">
        <v>0.08</v>
      </c>
      <c r="AD130" s="3"/>
      <c r="AE130" s="3"/>
    </row>
    <row r="131" spans="1:3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25">
      <c r="A132" s="3"/>
      <c r="B132" s="3"/>
      <c r="C132" s="3"/>
      <c r="D132" s="3"/>
      <c r="E132" s="3"/>
      <c r="F132" s="3" t="str">
        <f>KPI!$F$83</f>
        <v>%-нт маркетинговых расходов от продаж ГП</v>
      </c>
      <c r="G132" s="3"/>
      <c r="H132" s="3"/>
      <c r="I132" s="3"/>
      <c r="J132" s="3" t="str">
        <f>IF($F132="","",INDEX(KPI!$I$11:$I$275,SUMIFS(KPI!$E$11:$E$275,KPI!$F$11:$F$275,$F132)))</f>
        <v>%</v>
      </c>
      <c r="K132" s="3"/>
      <c r="L132" s="3"/>
      <c r="M132" s="3"/>
      <c r="N132" s="3"/>
      <c r="O132" s="3"/>
      <c r="P132" s="3"/>
      <c r="Q132" s="3"/>
      <c r="R132" s="3"/>
      <c r="S132" s="22" t="str">
        <f>IF($F132="","","*")</f>
        <v>*</v>
      </c>
      <c r="T132" s="57">
        <v>0.05</v>
      </c>
      <c r="U132" s="57">
        <v>0.05</v>
      </c>
      <c r="V132" s="57">
        <v>0.04</v>
      </c>
      <c r="W132" s="57">
        <v>0.04</v>
      </c>
      <c r="X132" s="57">
        <v>0.03</v>
      </c>
      <c r="Y132" s="57">
        <v>0.03</v>
      </c>
      <c r="Z132" s="57">
        <v>0.03</v>
      </c>
      <c r="AA132" s="57">
        <v>2.5000000000000001E-2</v>
      </c>
      <c r="AB132" s="57">
        <v>0.02</v>
      </c>
      <c r="AC132" s="57">
        <v>0.02</v>
      </c>
      <c r="AD132" s="3"/>
      <c r="AE132" s="3"/>
    </row>
    <row r="133" spans="1:3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11" customFormat="1" x14ac:dyDescent="0.25">
      <c r="A134" s="10"/>
      <c r="B134" s="10"/>
      <c r="C134" s="10"/>
      <c r="D134" s="10"/>
      <c r="E134" s="10"/>
      <c r="F134" s="10" t="str">
        <f>KPI!$F$85</f>
        <v>индексация ФОТ</v>
      </c>
      <c r="G134" s="10"/>
      <c r="H134" s="10"/>
      <c r="I134" s="10"/>
      <c r="J134" s="10" t="str">
        <f>IF($F134="","",INDEX(KPI!$I$11:$I$275,SUMIFS(KPI!$E$11:$E$275,KPI!$F$11:$F$275,$F134)))</f>
        <v>%</v>
      </c>
      <c r="K134" s="10"/>
      <c r="L134" s="10"/>
      <c r="M134" s="10"/>
      <c r="N134" s="10"/>
      <c r="O134" s="10"/>
      <c r="P134" s="10"/>
      <c r="Q134" s="10"/>
      <c r="R134" s="10"/>
      <c r="S134" s="22" t="str">
        <f>IF($F134="","","*")</f>
        <v>*</v>
      </c>
      <c r="T134" s="51">
        <v>0.05</v>
      </c>
      <c r="U134" s="51">
        <v>7.0000000000000007E-2</v>
      </c>
      <c r="V134" s="51">
        <v>0.08</v>
      </c>
      <c r="W134" s="51">
        <v>7.0000000000000007E-2</v>
      </c>
      <c r="X134" s="51">
        <v>0.06</v>
      </c>
      <c r="Y134" s="51">
        <v>0.05</v>
      </c>
      <c r="Z134" s="51">
        <v>0.04</v>
      </c>
      <c r="AA134" s="51">
        <v>0.03</v>
      </c>
      <c r="AB134" s="51">
        <v>0.01</v>
      </c>
      <c r="AC134" s="51">
        <v>0.01</v>
      </c>
      <c r="AD134" s="10"/>
      <c r="AE134" s="10"/>
    </row>
    <row r="135" spans="1:3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25">
      <c r="A136" s="3"/>
      <c r="B136" s="3"/>
      <c r="C136" s="3"/>
      <c r="D136" s="3"/>
      <c r="E136" s="3"/>
      <c r="F136" s="3" t="str">
        <f>KPI!$F$86</f>
        <v>количество постоянного производственного персонала на один произв. модуль</v>
      </c>
      <c r="G136" s="3"/>
      <c r="H136" s="3"/>
      <c r="I136" s="3"/>
      <c r="J136" s="3" t="str">
        <f>IF($F136="","",INDEX(KPI!$I$11:$I$275,SUMIFS(KPI!$E$11:$E$275,KPI!$F$11:$F$275,$F136)))</f>
        <v>чел</v>
      </c>
      <c r="K136" s="3"/>
      <c r="L136" s="3"/>
      <c r="M136" s="3"/>
      <c r="N136" s="3"/>
      <c r="O136" s="3"/>
      <c r="P136" s="22" t="str">
        <f>IF($F136="","","*")</f>
        <v>*</v>
      </c>
      <c r="Q136" s="6">
        <v>10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3"/>
      <c r="E138" s="3"/>
      <c r="F138" s="3" t="str">
        <f>KPI!$F$87</f>
        <v>средний ежемес. ФОТ одного постоянного производственного сотрудника</v>
      </c>
      <c r="G138" s="3"/>
      <c r="H138" s="3"/>
      <c r="I138" s="3"/>
      <c r="J138" s="3" t="str">
        <f>IF($F138="","",INDEX(KPI!$I$11:$I$275,SUMIFS(KPI!$E$11:$E$275,KPI!$F$11:$F$275,$F138)))</f>
        <v>тыс.руб.</v>
      </c>
      <c r="K138" s="3"/>
      <c r="L138" s="3"/>
      <c r="M138" s="3"/>
      <c r="N138" s="3"/>
      <c r="O138" s="3"/>
      <c r="P138" s="22" t="str">
        <f>IF($F138="","","*")</f>
        <v>*</v>
      </c>
      <c r="Q138" s="6">
        <v>50</v>
      </c>
      <c r="R138" s="3"/>
      <c r="S138" s="3"/>
      <c r="T138" s="58">
        <f>Q138</f>
        <v>50</v>
      </c>
      <c r="U138" s="58">
        <f>T138*(1+T$134)</f>
        <v>52.5</v>
      </c>
      <c r="V138" s="58">
        <f t="shared" ref="V138:AB138" si="27">U138*(1+U$134)</f>
        <v>56.175000000000004</v>
      </c>
      <c r="W138" s="58">
        <f t="shared" si="27"/>
        <v>60.669000000000011</v>
      </c>
      <c r="X138" s="58">
        <f t="shared" si="27"/>
        <v>64.915830000000014</v>
      </c>
      <c r="Y138" s="58">
        <f t="shared" si="27"/>
        <v>68.81077980000002</v>
      </c>
      <c r="Z138" s="58">
        <f t="shared" si="27"/>
        <v>72.251318790000028</v>
      </c>
      <c r="AA138" s="58">
        <f t="shared" si="27"/>
        <v>75.141371541600037</v>
      </c>
      <c r="AB138" s="58">
        <f t="shared" si="27"/>
        <v>77.395612687848043</v>
      </c>
      <c r="AC138" s="58">
        <f>AB138*(1+AB$134)</f>
        <v>78.169568814726517</v>
      </c>
      <c r="AD138" s="3"/>
      <c r="AE138" s="3"/>
    </row>
    <row r="139" spans="1:3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3"/>
      <c r="E140" s="3"/>
      <c r="F140" s="3" t="str">
        <f>KPI!$F$89</f>
        <v>%-нт пр-ва ГП от максим. выработки для переменного произв-ого персонала</v>
      </c>
      <c r="G140" s="3"/>
      <c r="H140" s="3"/>
      <c r="I140" s="3"/>
      <c r="J140" s="3" t="str">
        <f>IF($F140="","",INDEX(KPI!$I$11:$I$275,SUMIFS(KPI!$E$11:$E$275,KPI!$F$11:$F$275,$F140)))</f>
        <v>%</v>
      </c>
      <c r="K140" s="3"/>
      <c r="L140" s="3"/>
      <c r="M140" s="3"/>
      <c r="N140" s="3"/>
      <c r="O140" s="3"/>
      <c r="P140" s="22" t="str">
        <f>IF($F140="","","*")</f>
        <v>*</v>
      </c>
      <c r="Q140" s="8">
        <v>0.2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3"/>
      <c r="E142" s="3"/>
      <c r="F142" s="3" t="str">
        <f>KPI!$F$90</f>
        <v>кол-во переменного произв-ого персонала на каждый заданный %-нт пр-ва ГП</v>
      </c>
      <c r="G142" s="3"/>
      <c r="H142" s="3"/>
      <c r="I142" s="3"/>
      <c r="J142" s="3" t="str">
        <f>IF($F142="","",INDEX(KPI!$I$11:$I$275,SUMIFS(KPI!$E$11:$E$275,KPI!$F$11:$F$275,$F142)))</f>
        <v>чел</v>
      </c>
      <c r="K142" s="3"/>
      <c r="L142" s="3"/>
      <c r="M142" s="3"/>
      <c r="N142" s="3"/>
      <c r="O142" s="3"/>
      <c r="P142" s="22" t="str">
        <f>IF($F142="","","*")</f>
        <v>*</v>
      </c>
      <c r="Q142" s="6">
        <v>2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3"/>
      <c r="E144" s="3"/>
      <c r="F144" s="3" t="str">
        <f>KPI!$F$91</f>
        <v>средний ежемес. ФОТ одного переменного производственного сотрудника</v>
      </c>
      <c r="G144" s="3"/>
      <c r="H144" s="3"/>
      <c r="I144" s="3"/>
      <c r="J144" s="3" t="str">
        <f>IF($F144="","",INDEX(KPI!$I$11:$I$275,SUMIFS(KPI!$E$11:$E$275,KPI!$F$11:$F$275,$F144)))</f>
        <v>тыс.руб.</v>
      </c>
      <c r="K144" s="3"/>
      <c r="L144" s="3"/>
      <c r="M144" s="3"/>
      <c r="N144" s="3"/>
      <c r="O144" s="3"/>
      <c r="P144" s="22" t="str">
        <f>IF($F144="","","*")</f>
        <v>*</v>
      </c>
      <c r="Q144" s="6">
        <v>40</v>
      </c>
      <c r="R144" s="3"/>
      <c r="S144" s="3"/>
      <c r="T144" s="58">
        <f>Q144</f>
        <v>40</v>
      </c>
      <c r="U144" s="58">
        <f>T144*(1+T$134)</f>
        <v>42</v>
      </c>
      <c r="V144" s="58">
        <f t="shared" ref="V144:AC144" si="28">U144*(1+U$134)</f>
        <v>44.940000000000005</v>
      </c>
      <c r="W144" s="58">
        <f t="shared" si="28"/>
        <v>48.53520000000001</v>
      </c>
      <c r="X144" s="58">
        <f t="shared" si="28"/>
        <v>51.932664000000017</v>
      </c>
      <c r="Y144" s="58">
        <f t="shared" si="28"/>
        <v>55.048623840000019</v>
      </c>
      <c r="Z144" s="58">
        <f t="shared" si="28"/>
        <v>57.801055032000022</v>
      </c>
      <c r="AA144" s="58">
        <f t="shared" si="28"/>
        <v>60.113097233280023</v>
      </c>
      <c r="AB144" s="58">
        <f t="shared" si="28"/>
        <v>61.916490150278428</v>
      </c>
      <c r="AC144" s="58">
        <f t="shared" si="28"/>
        <v>62.535655051781212</v>
      </c>
      <c r="AD144" s="3"/>
      <c r="AE144" s="3"/>
    </row>
    <row r="145" spans="1:3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3"/>
      <c r="E146" s="3"/>
      <c r="F146" s="3" t="str">
        <f>KPI!$F$93</f>
        <v>количество постоянного персонала склада СиМ на один произв. модуль</v>
      </c>
      <c r="G146" s="3"/>
      <c r="H146" s="3"/>
      <c r="I146" s="3"/>
      <c r="J146" s="3" t="str">
        <f>IF($F146="","",INDEX(KPI!$I$11:$I$275,SUMIFS(KPI!$E$11:$E$275,KPI!$F$11:$F$275,$F146)))</f>
        <v>чел</v>
      </c>
      <c r="K146" s="3"/>
      <c r="L146" s="3"/>
      <c r="M146" s="3"/>
      <c r="N146" s="3"/>
      <c r="O146" s="3"/>
      <c r="P146" s="22" t="str">
        <f>IF($F146="","","*")</f>
        <v>*</v>
      </c>
      <c r="Q146" s="6">
        <v>2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x14ac:dyDescent="0.25">
      <c r="A148" s="3"/>
      <c r="B148" s="3"/>
      <c r="C148" s="3"/>
      <c r="D148" s="3"/>
      <c r="E148" s="3"/>
      <c r="F148" s="3" t="str">
        <f>KPI!$F$94</f>
        <v>средний ежемес. ФОТ одного постоянного сотрудника склада СиМ</v>
      </c>
      <c r="G148" s="3"/>
      <c r="H148" s="3"/>
      <c r="I148" s="3"/>
      <c r="J148" s="3" t="str">
        <f>IF($F148="","",INDEX(KPI!$I$11:$I$275,SUMIFS(KPI!$E$11:$E$275,KPI!$F$11:$F$275,$F148)))</f>
        <v>тыс.руб.</v>
      </c>
      <c r="K148" s="3"/>
      <c r="L148" s="3"/>
      <c r="M148" s="3"/>
      <c r="N148" s="3"/>
      <c r="O148" s="3"/>
      <c r="P148" s="22" t="str">
        <f>IF($F148="","","*")</f>
        <v>*</v>
      </c>
      <c r="Q148" s="6">
        <v>45</v>
      </c>
      <c r="R148" s="3"/>
      <c r="S148" s="3"/>
      <c r="T148" s="58">
        <f>Q148</f>
        <v>45</v>
      </c>
      <c r="U148" s="58">
        <f>T148*(1+T$134)</f>
        <v>47.25</v>
      </c>
      <c r="V148" s="58">
        <f t="shared" ref="V148:AC148" si="29">U148*(1+U$134)</f>
        <v>50.557500000000005</v>
      </c>
      <c r="W148" s="58">
        <f t="shared" si="29"/>
        <v>54.602100000000007</v>
      </c>
      <c r="X148" s="58">
        <f t="shared" si="29"/>
        <v>58.424247000000008</v>
      </c>
      <c r="Y148" s="58">
        <f t="shared" si="29"/>
        <v>61.929701820000012</v>
      </c>
      <c r="Z148" s="58">
        <f t="shared" si="29"/>
        <v>65.026186911000011</v>
      </c>
      <c r="AA148" s="58">
        <f t="shared" si="29"/>
        <v>67.627234387440012</v>
      </c>
      <c r="AB148" s="58">
        <f t="shared" si="29"/>
        <v>69.656051419063218</v>
      </c>
      <c r="AC148" s="58">
        <f t="shared" si="29"/>
        <v>70.352611933253854</v>
      </c>
      <c r="AD148" s="3"/>
      <c r="AE148" s="3"/>
    </row>
    <row r="149" spans="1:3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x14ac:dyDescent="0.25">
      <c r="A150" s="3"/>
      <c r="B150" s="3"/>
      <c r="C150" s="3"/>
      <c r="D150" s="3"/>
      <c r="E150" s="3"/>
      <c r="F150" s="3" t="str">
        <f>KPI!$F$96</f>
        <v>кол-во закупки СиМ в ед. ГП на 1-ого переменного сотрудника склада СиМ в мес.</v>
      </c>
      <c r="G150" s="3"/>
      <c r="H150" s="3"/>
      <c r="I150" s="3"/>
      <c r="J150" s="3" t="str">
        <f>IF($F150="","",INDEX(KPI!$I$11:$I$275,SUMIFS(KPI!$E$11:$E$275,KPI!$F$11:$F$275,$F150)))</f>
        <v>ед. ГП</v>
      </c>
      <c r="K150" s="3"/>
      <c r="L150" s="3"/>
      <c r="M150" s="3"/>
      <c r="N150" s="3"/>
      <c r="O150" s="3"/>
      <c r="P150" s="22" t="str">
        <f>IF($F150="","","*")</f>
        <v>*</v>
      </c>
      <c r="Q150" s="6">
        <v>80000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25">
      <c r="A152" s="3"/>
      <c r="B152" s="3"/>
      <c r="C152" s="3"/>
      <c r="D152" s="3"/>
      <c r="E152" s="3"/>
      <c r="F152" s="3" t="str">
        <f>KPI!$F$97</f>
        <v>средний ежемес. ФОТ одного переменного сотрудника склада СиМ</v>
      </c>
      <c r="G152" s="3"/>
      <c r="H152" s="3"/>
      <c r="I152" s="3"/>
      <c r="J152" s="3" t="str">
        <f>IF($F152="","",INDEX(KPI!$I$11:$I$275,SUMIFS(KPI!$E$11:$E$275,KPI!$F$11:$F$275,$F152)))</f>
        <v>тыс.руб.</v>
      </c>
      <c r="K152" s="3"/>
      <c r="L152" s="3"/>
      <c r="M152" s="3"/>
      <c r="N152" s="3"/>
      <c r="O152" s="3"/>
      <c r="P152" s="22" t="str">
        <f>IF($F152="","","*")</f>
        <v>*</v>
      </c>
      <c r="Q152" s="6">
        <v>35</v>
      </c>
      <c r="R152" s="3"/>
      <c r="S152" s="3"/>
      <c r="T152" s="58">
        <f>Q152</f>
        <v>35</v>
      </c>
      <c r="U152" s="58">
        <f>T152*(1+T$134)</f>
        <v>36.75</v>
      </c>
      <c r="V152" s="58">
        <f t="shared" ref="V152:AC152" si="30">U152*(1+U$134)</f>
        <v>39.322500000000005</v>
      </c>
      <c r="W152" s="58">
        <f t="shared" si="30"/>
        <v>42.468300000000006</v>
      </c>
      <c r="X152" s="58">
        <f t="shared" si="30"/>
        <v>45.441081000000011</v>
      </c>
      <c r="Y152" s="58">
        <f t="shared" si="30"/>
        <v>48.167545860000011</v>
      </c>
      <c r="Z152" s="58">
        <f t="shared" si="30"/>
        <v>50.575923153000012</v>
      </c>
      <c r="AA152" s="58">
        <f t="shared" si="30"/>
        <v>52.598960079120012</v>
      </c>
      <c r="AB152" s="58">
        <f t="shared" si="30"/>
        <v>54.176928881493616</v>
      </c>
      <c r="AC152" s="58">
        <f t="shared" si="30"/>
        <v>54.718698170308549</v>
      </c>
      <c r="AD152" s="3"/>
      <c r="AE152" s="3"/>
    </row>
    <row r="153" spans="1:3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25">
      <c r="A154" s="3"/>
      <c r="B154" s="3"/>
      <c r="C154" s="3"/>
      <c r="D154" s="3"/>
      <c r="E154" s="3"/>
      <c r="F154" s="3" t="str">
        <f>KPI!$F$99</f>
        <v>количество постоянного персонала склада ГП на один произв. модуль</v>
      </c>
      <c r="G154" s="3"/>
      <c r="H154" s="3"/>
      <c r="I154" s="3"/>
      <c r="J154" s="3" t="str">
        <f>IF($F154="","",INDEX(KPI!$I$11:$I$275,SUMIFS(KPI!$E$11:$E$275,KPI!$F$11:$F$275,$F154)))</f>
        <v>чел</v>
      </c>
      <c r="K154" s="3"/>
      <c r="L154" s="3"/>
      <c r="M154" s="3"/>
      <c r="N154" s="3"/>
      <c r="O154" s="3"/>
      <c r="P154" s="22" t="str">
        <f>IF($F154="","","*")</f>
        <v>*</v>
      </c>
      <c r="Q154" s="6">
        <v>3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x14ac:dyDescent="0.25">
      <c r="A156" s="3"/>
      <c r="B156" s="3"/>
      <c r="C156" s="3"/>
      <c r="D156" s="3"/>
      <c r="E156" s="3"/>
      <c r="F156" s="3" t="str">
        <f>KPI!$F$100</f>
        <v>средний ежемес. ФОТ одного постоянного сотрудника склада ГП</v>
      </c>
      <c r="G156" s="3"/>
      <c r="H156" s="3"/>
      <c r="I156" s="3"/>
      <c r="J156" s="3" t="str">
        <f>IF($F156="","",INDEX(KPI!$I$11:$I$275,SUMIFS(KPI!$E$11:$E$275,KPI!$F$11:$F$275,$F156)))</f>
        <v>тыс.руб.</v>
      </c>
      <c r="K156" s="3"/>
      <c r="L156" s="3"/>
      <c r="M156" s="3"/>
      <c r="N156" s="3"/>
      <c r="O156" s="3"/>
      <c r="P156" s="22" t="str">
        <f>IF($F156="","","*")</f>
        <v>*</v>
      </c>
      <c r="Q156" s="6">
        <v>50</v>
      </c>
      <c r="R156" s="3"/>
      <c r="S156" s="3"/>
      <c r="T156" s="58">
        <f>Q156</f>
        <v>50</v>
      </c>
      <c r="U156" s="58">
        <f>T156*(1+T$134)</f>
        <v>52.5</v>
      </c>
      <c r="V156" s="58">
        <f t="shared" ref="V156:AC156" si="31">U156*(1+U$134)</f>
        <v>56.175000000000004</v>
      </c>
      <c r="W156" s="58">
        <f t="shared" si="31"/>
        <v>60.669000000000011</v>
      </c>
      <c r="X156" s="58">
        <f t="shared" si="31"/>
        <v>64.915830000000014</v>
      </c>
      <c r="Y156" s="58">
        <f t="shared" si="31"/>
        <v>68.81077980000002</v>
      </c>
      <c r="Z156" s="58">
        <f t="shared" si="31"/>
        <v>72.251318790000028</v>
      </c>
      <c r="AA156" s="58">
        <f t="shared" si="31"/>
        <v>75.141371541600037</v>
      </c>
      <c r="AB156" s="58">
        <f t="shared" si="31"/>
        <v>77.395612687848043</v>
      </c>
      <c r="AC156" s="58">
        <f t="shared" si="31"/>
        <v>78.169568814726517</v>
      </c>
      <c r="AD156" s="3"/>
      <c r="AE156" s="3"/>
    </row>
    <row r="157" spans="1:3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x14ac:dyDescent="0.25">
      <c r="A158" s="3"/>
      <c r="B158" s="3"/>
      <c r="C158" s="3"/>
      <c r="D158" s="3"/>
      <c r="E158" s="3"/>
      <c r="F158" s="3" t="str">
        <f>KPI!$F$102</f>
        <v>кол-во произв-ва ед. ГП на 1-ого переменного сотрудника склада ГП в мес.</v>
      </c>
      <c r="G158" s="3"/>
      <c r="H158" s="3"/>
      <c r="I158" s="3"/>
      <c r="J158" s="3" t="str">
        <f>IF($F158="","",INDEX(KPI!$I$11:$I$275,SUMIFS(KPI!$E$11:$E$275,KPI!$F$11:$F$275,$F158)))</f>
        <v>ед. ГП</v>
      </c>
      <c r="K158" s="3"/>
      <c r="L158" s="3"/>
      <c r="M158" s="3"/>
      <c r="N158" s="3"/>
      <c r="O158" s="3"/>
      <c r="P158" s="22" t="str">
        <f>IF($F158="","","*")</f>
        <v>*</v>
      </c>
      <c r="Q158" s="6">
        <v>70000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25">
      <c r="A160" s="3"/>
      <c r="B160" s="3"/>
      <c r="C160" s="3"/>
      <c r="D160" s="3"/>
      <c r="E160" s="3"/>
      <c r="F160" s="3" t="str">
        <f>KPI!$F$103</f>
        <v>средний ежемес. ФОТ одного переменного сотрудника склада ГП</v>
      </c>
      <c r="G160" s="3"/>
      <c r="H160" s="3"/>
      <c r="I160" s="3"/>
      <c r="J160" s="3" t="str">
        <f>IF($F160="","",INDEX(KPI!$I$11:$I$275,SUMIFS(KPI!$E$11:$E$275,KPI!$F$11:$F$275,$F160)))</f>
        <v>тыс.руб.</v>
      </c>
      <c r="K160" s="3"/>
      <c r="L160" s="3"/>
      <c r="M160" s="3"/>
      <c r="N160" s="3"/>
      <c r="O160" s="3"/>
      <c r="P160" s="22" t="str">
        <f>IF($F160="","","*")</f>
        <v>*</v>
      </c>
      <c r="Q160" s="6">
        <v>40</v>
      </c>
      <c r="R160" s="3"/>
      <c r="S160" s="3"/>
      <c r="T160" s="58">
        <f>Q160</f>
        <v>40</v>
      </c>
      <c r="U160" s="58">
        <f>T160*(1+T$134)</f>
        <v>42</v>
      </c>
      <c r="V160" s="58">
        <f t="shared" ref="V160:AC160" si="32">U160*(1+U$134)</f>
        <v>44.940000000000005</v>
      </c>
      <c r="W160" s="58">
        <f t="shared" si="32"/>
        <v>48.53520000000001</v>
      </c>
      <c r="X160" s="58">
        <f t="shared" si="32"/>
        <v>51.932664000000017</v>
      </c>
      <c r="Y160" s="58">
        <f t="shared" si="32"/>
        <v>55.048623840000019</v>
      </c>
      <c r="Z160" s="58">
        <f t="shared" si="32"/>
        <v>57.801055032000022</v>
      </c>
      <c r="AA160" s="58">
        <f t="shared" si="32"/>
        <v>60.113097233280023</v>
      </c>
      <c r="AB160" s="58">
        <f t="shared" si="32"/>
        <v>61.916490150278428</v>
      </c>
      <c r="AC160" s="58">
        <f t="shared" si="32"/>
        <v>62.535655051781212</v>
      </c>
      <c r="AD160" s="3"/>
      <c r="AE160" s="3"/>
    </row>
    <row r="161" spans="1:3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25">
      <c r="A162" s="3"/>
      <c r="B162" s="3"/>
      <c r="C162" s="3"/>
      <c r="D162" s="3"/>
      <c r="E162" s="3"/>
      <c r="F162" s="3" t="str">
        <f>KPI!$F$105</f>
        <v>количество топ-менеджеров</v>
      </c>
      <c r="G162" s="3"/>
      <c r="H162" s="3"/>
      <c r="I162" s="3"/>
      <c r="J162" s="3" t="str">
        <f>IF($F162="","",INDEX(KPI!$I$11:$I$275,SUMIFS(KPI!$E$11:$E$275,KPI!$F$11:$F$275,$F162)))</f>
        <v>чел</v>
      </c>
      <c r="K162" s="3"/>
      <c r="L162" s="3"/>
      <c r="M162" s="3"/>
      <c r="N162" s="3"/>
      <c r="O162" s="3"/>
      <c r="P162" s="3"/>
      <c r="Q162" s="3"/>
      <c r="R162" s="3"/>
      <c r="S162" s="22" t="str">
        <f>IF($F162="","","*")</f>
        <v>*</v>
      </c>
      <c r="T162" s="6">
        <v>2</v>
      </c>
      <c r="U162" s="6">
        <v>5</v>
      </c>
      <c r="V162" s="6">
        <v>5</v>
      </c>
      <c r="W162" s="6">
        <v>5</v>
      </c>
      <c r="X162" s="6">
        <v>5</v>
      </c>
      <c r="Y162" s="6">
        <v>5</v>
      </c>
      <c r="Z162" s="6">
        <v>5</v>
      </c>
      <c r="AA162" s="6">
        <v>5</v>
      </c>
      <c r="AB162" s="6">
        <v>5</v>
      </c>
      <c r="AC162" s="6">
        <v>5</v>
      </c>
      <c r="AD162" s="3"/>
      <c r="AE162" s="3"/>
    </row>
    <row r="163" spans="1:3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25">
      <c r="A164" s="3"/>
      <c r="B164" s="3"/>
      <c r="C164" s="3"/>
      <c r="D164" s="3"/>
      <c r="E164" s="3"/>
      <c r="F164" s="3" t="str">
        <f>KPI!$F$106</f>
        <v>средний ежемес. ФОТ одного топ-менеджера</v>
      </c>
      <c r="G164" s="3"/>
      <c r="H164" s="3"/>
      <c r="I164" s="3"/>
      <c r="J164" s="3" t="str">
        <f>IF($F164="","",INDEX(KPI!$I$11:$I$275,SUMIFS(KPI!$E$11:$E$275,KPI!$F$11:$F$275,$F164)))</f>
        <v>тыс.руб.</v>
      </c>
      <c r="K164" s="3"/>
      <c r="L164" s="3"/>
      <c r="M164" s="3"/>
      <c r="N164" s="3"/>
      <c r="O164" s="3"/>
      <c r="P164" s="22" t="str">
        <f>IF($F164="","","*")</f>
        <v>*</v>
      </c>
      <c r="Q164" s="6">
        <v>200</v>
      </c>
      <c r="R164" s="3"/>
      <c r="S164" s="3"/>
      <c r="T164" s="58">
        <f>Q164</f>
        <v>200</v>
      </c>
      <c r="U164" s="58">
        <f>T164*(1+T$134)</f>
        <v>210</v>
      </c>
      <c r="V164" s="58">
        <f t="shared" ref="V164:AC164" si="33">U164*(1+U$134)</f>
        <v>224.70000000000002</v>
      </c>
      <c r="W164" s="58">
        <f t="shared" si="33"/>
        <v>242.67600000000004</v>
      </c>
      <c r="X164" s="58">
        <f t="shared" si="33"/>
        <v>259.66332000000006</v>
      </c>
      <c r="Y164" s="58">
        <f t="shared" si="33"/>
        <v>275.24311920000008</v>
      </c>
      <c r="Z164" s="58">
        <f t="shared" si="33"/>
        <v>289.00527516000011</v>
      </c>
      <c r="AA164" s="58">
        <f t="shared" si="33"/>
        <v>300.56548616640015</v>
      </c>
      <c r="AB164" s="58">
        <f t="shared" si="33"/>
        <v>309.58245075139217</v>
      </c>
      <c r="AC164" s="58">
        <f t="shared" si="33"/>
        <v>312.67827525890607</v>
      </c>
      <c r="AD164" s="3"/>
      <c r="AE164" s="3"/>
    </row>
    <row r="165" spans="1:3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x14ac:dyDescent="0.25">
      <c r="A166" s="3"/>
      <c r="B166" s="3"/>
      <c r="C166" s="3"/>
      <c r="D166" s="3"/>
      <c r="E166" s="3"/>
      <c r="F166" s="3" t="str">
        <f>KPI!$F$108</f>
        <v>количество менеджеров по продажам для одного производственного модуля</v>
      </c>
      <c r="G166" s="3"/>
      <c r="H166" s="3"/>
      <c r="I166" s="3"/>
      <c r="J166" s="3" t="str">
        <f>IF($F166="","",INDEX(KPI!$I$11:$I$275,SUMIFS(KPI!$E$11:$E$275,KPI!$F$11:$F$275,$F166)))</f>
        <v>чел</v>
      </c>
      <c r="K166" s="3"/>
      <c r="L166" s="3"/>
      <c r="M166" s="3"/>
      <c r="N166" s="3"/>
      <c r="O166" s="3"/>
      <c r="P166" s="22" t="str">
        <f>IF($F166="","","*")</f>
        <v>*</v>
      </c>
      <c r="Q166" s="6">
        <v>4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25">
      <c r="A168" s="3"/>
      <c r="B168" s="3"/>
      <c r="C168" s="3"/>
      <c r="D168" s="3"/>
      <c r="E168" s="3"/>
      <c r="F168" s="3" t="str">
        <f>KPI!$F$109</f>
        <v>средний ежемес. ФОТ одного менеджера по продажам</v>
      </c>
      <c r="G168" s="3"/>
      <c r="H168" s="3"/>
      <c r="I168" s="3"/>
      <c r="J168" s="3" t="str">
        <f>IF($F168="","",INDEX(KPI!$I$11:$I$275,SUMIFS(KPI!$E$11:$E$275,KPI!$F$11:$F$275,$F168)))</f>
        <v>тыс.руб.</v>
      </c>
      <c r="K168" s="3"/>
      <c r="L168" s="3"/>
      <c r="M168" s="3"/>
      <c r="N168" s="3"/>
      <c r="O168" s="3"/>
      <c r="P168" s="22" t="str">
        <f>IF($F168="","","*")</f>
        <v>*</v>
      </c>
      <c r="Q168" s="6">
        <v>80</v>
      </c>
      <c r="R168" s="3"/>
      <c r="S168" s="3"/>
      <c r="T168" s="58">
        <f>Q168</f>
        <v>80</v>
      </c>
      <c r="U168" s="58">
        <f>T168*(1+T$134)</f>
        <v>84</v>
      </c>
      <c r="V168" s="58">
        <f t="shared" ref="V168:AC168" si="34">U168*(1+U$134)</f>
        <v>89.88000000000001</v>
      </c>
      <c r="W168" s="58">
        <f t="shared" si="34"/>
        <v>97.070400000000021</v>
      </c>
      <c r="X168" s="58">
        <f t="shared" si="34"/>
        <v>103.86532800000003</v>
      </c>
      <c r="Y168" s="58">
        <f t="shared" si="34"/>
        <v>110.09724768000004</v>
      </c>
      <c r="Z168" s="58">
        <f t="shared" si="34"/>
        <v>115.60211006400004</v>
      </c>
      <c r="AA168" s="58">
        <f t="shared" si="34"/>
        <v>120.22619446656005</v>
      </c>
      <c r="AB168" s="58">
        <f t="shared" si="34"/>
        <v>123.83298030055686</v>
      </c>
      <c r="AC168" s="58">
        <f t="shared" si="34"/>
        <v>125.07131010356242</v>
      </c>
      <c r="AD168" s="3"/>
      <c r="AE168" s="3"/>
    </row>
    <row r="169" spans="1:3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25">
      <c r="A170" s="3"/>
      <c r="B170" s="3"/>
      <c r="C170" s="3"/>
      <c r="D170" s="3"/>
      <c r="E170" s="3"/>
      <c r="F170" s="3" t="str">
        <f>KPI!$F$111</f>
        <v>прочий постоянный управленческий персонал</v>
      </c>
      <c r="G170" s="3"/>
      <c r="H170" s="3"/>
      <c r="I170" s="3"/>
      <c r="J170" s="3" t="str">
        <f>IF($F170="","",INDEX(KPI!$I$11:$I$275,SUMIFS(KPI!$E$11:$E$275,KPI!$F$11:$F$275,$F170)))</f>
        <v>чел</v>
      </c>
      <c r="K170" s="3"/>
      <c r="L170" s="3"/>
      <c r="M170" s="3"/>
      <c r="N170" s="3"/>
      <c r="O170" s="3"/>
      <c r="P170" s="3"/>
      <c r="Q170" s="3"/>
      <c r="R170" s="3"/>
      <c r="S170" s="22" t="str">
        <f>IF($F170="","","*")</f>
        <v>*</v>
      </c>
      <c r="T170" s="6">
        <v>3</v>
      </c>
      <c r="U170" s="6">
        <v>7</v>
      </c>
      <c r="V170" s="6">
        <v>8</v>
      </c>
      <c r="W170" s="6">
        <v>10</v>
      </c>
      <c r="X170" s="6">
        <v>10</v>
      </c>
      <c r="Y170" s="6">
        <v>10</v>
      </c>
      <c r="Z170" s="6">
        <v>10</v>
      </c>
      <c r="AA170" s="6">
        <v>10</v>
      </c>
      <c r="AB170" s="6">
        <v>10</v>
      </c>
      <c r="AC170" s="6">
        <v>10</v>
      </c>
      <c r="AD170" s="3"/>
      <c r="AE170" s="3"/>
    </row>
    <row r="171" spans="1:3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x14ac:dyDescent="0.25">
      <c r="A172" s="3"/>
      <c r="B172" s="3"/>
      <c r="C172" s="3"/>
      <c r="D172" s="3"/>
      <c r="E172" s="3"/>
      <c r="F172" s="3" t="str">
        <f>KPI!$F$112</f>
        <v>средний ежемес. ФОТ одного сотрудника прочего управленческого персонала</v>
      </c>
      <c r="G172" s="3"/>
      <c r="H172" s="3"/>
      <c r="I172" s="3"/>
      <c r="J172" s="3" t="str">
        <f>IF($F172="","",INDEX(KPI!$I$11:$I$275,SUMIFS(KPI!$E$11:$E$275,KPI!$F$11:$F$275,$F172)))</f>
        <v>тыс.руб.</v>
      </c>
      <c r="K172" s="3"/>
      <c r="L172" s="3"/>
      <c r="M172" s="3"/>
      <c r="N172" s="3"/>
      <c r="O172" s="3"/>
      <c r="P172" s="22" t="str">
        <f>IF($F172="","","*")</f>
        <v>*</v>
      </c>
      <c r="Q172" s="6">
        <v>80</v>
      </c>
      <c r="R172" s="3"/>
      <c r="S172" s="3"/>
      <c r="T172" s="58">
        <f>Q172</f>
        <v>80</v>
      </c>
      <c r="U172" s="58">
        <f>T172*(1+T$134)</f>
        <v>84</v>
      </c>
      <c r="V172" s="58">
        <f t="shared" ref="V172:AC172" si="35">U172*(1+U$134)</f>
        <v>89.88000000000001</v>
      </c>
      <c r="W172" s="58">
        <f t="shared" si="35"/>
        <v>97.070400000000021</v>
      </c>
      <c r="X172" s="58">
        <f t="shared" si="35"/>
        <v>103.86532800000003</v>
      </c>
      <c r="Y172" s="58">
        <f t="shared" si="35"/>
        <v>110.09724768000004</v>
      </c>
      <c r="Z172" s="58">
        <f t="shared" si="35"/>
        <v>115.60211006400004</v>
      </c>
      <c r="AA172" s="58">
        <f t="shared" si="35"/>
        <v>120.22619446656005</v>
      </c>
      <c r="AB172" s="58">
        <f t="shared" si="35"/>
        <v>123.83298030055686</v>
      </c>
      <c r="AC172" s="58">
        <f t="shared" si="35"/>
        <v>125.07131010356242</v>
      </c>
      <c r="AD172" s="3"/>
      <c r="AE172" s="3"/>
    </row>
    <row r="173" spans="1:3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x14ac:dyDescent="0.25">
      <c r="A174" s="3"/>
      <c r="B174" s="3"/>
      <c r="C174" s="3"/>
      <c r="D174" s="3"/>
      <c r="E174" s="3"/>
      <c r="F174" s="3" t="str">
        <f>KPI!$F$114</f>
        <v>% мотивационного ФОТ от объема продаж ГП</v>
      </c>
      <c r="G174" s="3"/>
      <c r="H174" s="3"/>
      <c r="I174" s="3"/>
      <c r="J174" s="3" t="str">
        <f>IF($F174="","",INDEX(KPI!$I$11:$I$275,SUMIFS(KPI!$E$11:$E$275,KPI!$F$11:$F$275,$F174)))</f>
        <v>%</v>
      </c>
      <c r="K174" s="3"/>
      <c r="L174" s="3"/>
      <c r="M174" s="3"/>
      <c r="N174" s="3"/>
      <c r="O174" s="3"/>
      <c r="P174" s="22" t="str">
        <f>IF($F174="","","*")</f>
        <v>*</v>
      </c>
      <c r="Q174" s="8">
        <v>0.01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25">
      <c r="A176" s="3"/>
      <c r="B176" s="3"/>
      <c r="C176" s="3"/>
      <c r="D176" s="3"/>
      <c r="E176" s="3"/>
      <c r="F176" s="3" t="str">
        <f>KPI!$F$116</f>
        <v>% отчислений в соц. фонды от ФОТ</v>
      </c>
      <c r="G176" s="3"/>
      <c r="H176" s="3"/>
      <c r="I176" s="3"/>
      <c r="J176" s="3" t="str">
        <f>IF($F176="","",INDEX(KPI!$I$11:$I$275,SUMIFS(KPI!$E$11:$E$275,KPI!$F$11:$F$275,$F176)))</f>
        <v>%</v>
      </c>
      <c r="K176" s="3"/>
      <c r="L176" s="3"/>
      <c r="M176" s="3"/>
      <c r="N176" s="3"/>
      <c r="O176" s="3"/>
      <c r="P176" s="22" t="str">
        <f>IF($F176="","","*")</f>
        <v>*</v>
      </c>
      <c r="Q176" s="8">
        <v>0.3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x14ac:dyDescent="0.25">
      <c r="A178" s="3"/>
      <c r="B178" s="3"/>
      <c r="C178" s="3"/>
      <c r="D178" s="3"/>
      <c r="E178" s="3"/>
      <c r="F178" s="3" t="str">
        <f>KPI!$F$119</f>
        <v>административные, накладные и хоз. (АНХ) расходы на 1-ого шт. сотрудника</v>
      </c>
      <c r="G178" s="3"/>
      <c r="H178" s="3"/>
      <c r="I178" s="3"/>
      <c r="J178" s="3" t="str">
        <f>IF($F178="","",INDEX(KPI!$I$11:$I$275,SUMIFS(KPI!$E$11:$E$275,KPI!$F$11:$F$275,$F178)))</f>
        <v>тыс.руб.</v>
      </c>
      <c r="K178" s="3"/>
      <c r="L178" s="3"/>
      <c r="M178" s="3"/>
      <c r="N178" s="3"/>
      <c r="O178" s="3"/>
      <c r="P178" s="22" t="str">
        <f>IF($F178="","","*")</f>
        <v>*</v>
      </c>
      <c r="Q178" s="6">
        <v>2</v>
      </c>
      <c r="R178" s="3"/>
      <c r="S178" s="3"/>
      <c r="T178" s="58">
        <f>Q178</f>
        <v>2</v>
      </c>
      <c r="U178" s="58">
        <f>T178*(1+T$134)</f>
        <v>2.1</v>
      </c>
      <c r="V178" s="58">
        <f t="shared" ref="V178" si="36">U178*(1+U$134)</f>
        <v>2.2470000000000003</v>
      </c>
      <c r="W178" s="58">
        <f t="shared" ref="W178" si="37">V178*(1+V$134)</f>
        <v>2.4267600000000007</v>
      </c>
      <c r="X178" s="58">
        <f t="shared" ref="X178" si="38">W178*(1+W$134)</f>
        <v>2.5966332000000008</v>
      </c>
      <c r="Y178" s="58">
        <f t="shared" ref="Y178" si="39">X178*(1+X$134)</f>
        <v>2.7524311920000009</v>
      </c>
      <c r="Z178" s="58">
        <f t="shared" ref="Z178" si="40">Y178*(1+Y$134)</f>
        <v>2.8900527516000012</v>
      </c>
      <c r="AA178" s="58">
        <f t="shared" ref="AA178" si="41">Z178*(1+Z$134)</f>
        <v>3.0056548616640013</v>
      </c>
      <c r="AB178" s="58">
        <f t="shared" ref="AB178" si="42">AA178*(1+AA$134)</f>
        <v>3.0958245075139215</v>
      </c>
      <c r="AC178" s="58">
        <f t="shared" ref="AC178" si="43">AB178*(1+AB$134)</f>
        <v>3.1267827525890608</v>
      </c>
      <c r="AD178" s="3"/>
      <c r="AE178" s="3"/>
    </row>
    <row r="179" spans="1:3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s="11" customFormat="1" x14ac:dyDescent="0.25">
      <c r="A180" s="10"/>
      <c r="B180" s="10"/>
      <c r="C180" s="10"/>
      <c r="D180" s="10"/>
      <c r="E180" s="10"/>
      <c r="F180" s="10" t="str">
        <f>KPI!$F$152</f>
        <v>Ставка налога на прибыль</v>
      </c>
      <c r="G180" s="10"/>
      <c r="H180" s="10"/>
      <c r="I180" s="10"/>
      <c r="J180" s="10" t="str">
        <f>IF($F180="","",INDEX(KPI!$I$11:$I$275,SUMIFS(KPI!$E$11:$E$275,KPI!$F$11:$F$275,$F180)))</f>
        <v>%</v>
      </c>
      <c r="K180" s="10"/>
      <c r="L180" s="10"/>
      <c r="M180" s="10"/>
      <c r="N180" s="10"/>
      <c r="O180" s="10"/>
      <c r="P180" s="10"/>
      <c r="Q180" s="10"/>
      <c r="R180" s="10"/>
      <c r="S180" s="22" t="str">
        <f>IF($F180="","","*")</f>
        <v>*</v>
      </c>
      <c r="T180" s="51">
        <v>0.2</v>
      </c>
      <c r="U180" s="51">
        <v>0.2</v>
      </c>
      <c r="V180" s="51">
        <v>0.2</v>
      </c>
      <c r="W180" s="51">
        <v>0.2</v>
      </c>
      <c r="X180" s="51">
        <v>0.2</v>
      </c>
      <c r="Y180" s="51">
        <v>0.2</v>
      </c>
      <c r="Z180" s="51">
        <v>0.2</v>
      </c>
      <c r="AA180" s="51">
        <v>0.2</v>
      </c>
      <c r="AB180" s="51">
        <v>0.2</v>
      </c>
      <c r="AC180" s="51">
        <v>0.2</v>
      </c>
      <c r="AD180" s="10"/>
      <c r="AE180" s="10"/>
    </row>
    <row r="181" spans="1:3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11" customFormat="1" x14ac:dyDescent="0.25">
      <c r="A182" s="10"/>
      <c r="B182" s="10"/>
      <c r="C182" s="10"/>
      <c r="D182" s="10"/>
      <c r="E182" s="10"/>
      <c r="F182" s="10" t="str">
        <f>KPI!$F$237</f>
        <v>Ставка НДС</v>
      </c>
      <c r="G182" s="10"/>
      <c r="H182" s="10"/>
      <c r="I182" s="10"/>
      <c r="J182" s="10" t="str">
        <f>IF($F182="","",INDEX(KPI!$I$11:$I$275,SUMIFS(KPI!$E$11:$E$275,KPI!$F$11:$F$275,$F182)))</f>
        <v>%</v>
      </c>
      <c r="K182" s="10"/>
      <c r="L182" s="10"/>
      <c r="M182" s="10"/>
      <c r="N182" s="10"/>
      <c r="O182" s="10"/>
      <c r="P182" s="10"/>
      <c r="Q182" s="10"/>
      <c r="R182" s="10"/>
      <c r="S182" s="22" t="str">
        <f>IF($F182="","","*")</f>
        <v>*</v>
      </c>
      <c r="T182" s="51">
        <v>0.2</v>
      </c>
      <c r="U182" s="51">
        <f>T182</f>
        <v>0.2</v>
      </c>
      <c r="V182" s="51">
        <f t="shared" ref="V182:AC182" si="44">U182</f>
        <v>0.2</v>
      </c>
      <c r="W182" s="51">
        <f t="shared" si="44"/>
        <v>0.2</v>
      </c>
      <c r="X182" s="51">
        <f t="shared" si="44"/>
        <v>0.2</v>
      </c>
      <c r="Y182" s="51">
        <f t="shared" si="44"/>
        <v>0.2</v>
      </c>
      <c r="Z182" s="51">
        <f t="shared" si="44"/>
        <v>0.2</v>
      </c>
      <c r="AA182" s="51">
        <f t="shared" si="44"/>
        <v>0.2</v>
      </c>
      <c r="AB182" s="51">
        <f t="shared" si="44"/>
        <v>0.2</v>
      </c>
      <c r="AC182" s="51">
        <f t="shared" si="44"/>
        <v>0.2</v>
      </c>
      <c r="AD182" s="10"/>
      <c r="AE182" s="10"/>
    </row>
    <row r="183" spans="1:3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11" customFormat="1" x14ac:dyDescent="0.25">
      <c r="A184" s="10"/>
      <c r="B184" s="10"/>
      <c r="C184" s="10"/>
      <c r="D184" s="10"/>
      <c r="E184" s="10"/>
      <c r="F184" s="10" t="str">
        <f>KPI!$F$238</f>
        <v>Ставка налога на имущество</v>
      </c>
      <c r="G184" s="10"/>
      <c r="H184" s="10"/>
      <c r="I184" s="10"/>
      <c r="J184" s="10" t="str">
        <f>IF($F184="","",INDEX(KPI!$I$11:$I$275,SUMIFS(KPI!$E$11:$E$275,KPI!$F$11:$F$275,$F184)))</f>
        <v>%</v>
      </c>
      <c r="K184" s="10"/>
      <c r="L184" s="10"/>
      <c r="M184" s="10"/>
      <c r="N184" s="10"/>
      <c r="O184" s="10"/>
      <c r="P184" s="10"/>
      <c r="Q184" s="10"/>
      <c r="R184" s="10"/>
      <c r="S184" s="22" t="str">
        <f>IF($F184="","","*")</f>
        <v>*</v>
      </c>
      <c r="T184" s="51">
        <v>2.1999999999999999E-2</v>
      </c>
      <c r="U184" s="51">
        <v>2.1999999999999999E-2</v>
      </c>
      <c r="V184" s="51">
        <v>2.1999999999999999E-2</v>
      </c>
      <c r="W184" s="51">
        <v>2.1999999999999999E-2</v>
      </c>
      <c r="X184" s="51">
        <v>2.1999999999999999E-2</v>
      </c>
      <c r="Y184" s="51">
        <v>2.1999999999999999E-2</v>
      </c>
      <c r="Z184" s="51">
        <v>2.1999999999999999E-2</v>
      </c>
      <c r="AA184" s="51">
        <v>2.1999999999999999E-2</v>
      </c>
      <c r="AB184" s="51">
        <v>2.1999999999999999E-2</v>
      </c>
      <c r="AC184" s="51">
        <v>2.1999999999999999E-2</v>
      </c>
      <c r="AD184" s="10"/>
      <c r="AE184" s="10"/>
    </row>
    <row r="185" spans="1:3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11" customFormat="1" x14ac:dyDescent="0.25">
      <c r="A186" s="10"/>
      <c r="B186" s="10"/>
      <c r="C186" s="10"/>
      <c r="D186" s="10"/>
      <c r="E186" s="10"/>
      <c r="F186" s="10" t="str">
        <f>KPI!$F$239</f>
        <v>Доля ОС, облагаемая налогом на имущество</v>
      </c>
      <c r="G186" s="10"/>
      <c r="H186" s="10"/>
      <c r="I186" s="10"/>
      <c r="J186" s="10" t="str">
        <f>IF($F186="","",INDEX(KPI!$I$11:$I$275,SUMIFS(KPI!$E$11:$E$275,KPI!$F$11:$F$275,$F186)))</f>
        <v>%</v>
      </c>
      <c r="K186" s="10"/>
      <c r="L186" s="10"/>
      <c r="M186" s="10"/>
      <c r="N186" s="10"/>
      <c r="O186" s="10"/>
      <c r="P186" s="22" t="str">
        <f>IF($F186="","","*")</f>
        <v>*</v>
      </c>
      <c r="Q186" s="8">
        <v>0.5</v>
      </c>
      <c r="R186" s="1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10"/>
      <c r="AE186" s="10"/>
    </row>
    <row r="187" spans="1:3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11" customFormat="1" x14ac:dyDescent="0.25">
      <c r="A188" s="10"/>
      <c r="B188" s="10"/>
      <c r="C188" s="10"/>
      <c r="D188" s="10"/>
      <c r="E188" s="10"/>
      <c r="F188" s="156" t="str">
        <f>KPI!$F$142</f>
        <v>Ставка дисконтирования финансового потока</v>
      </c>
      <c r="G188" s="10"/>
      <c r="H188" s="10"/>
      <c r="I188" s="10"/>
      <c r="J188" s="10" t="str">
        <f>IF($F188="","",INDEX(KPI!$I$11:$I$275,SUMIFS(KPI!$E$11:$E$275,KPI!$F$11:$F$275,$F188)))</f>
        <v>%</v>
      </c>
      <c r="K188" s="10"/>
      <c r="L188" s="10"/>
      <c r="M188" s="10"/>
      <c r="N188" s="10"/>
      <c r="O188" s="10"/>
      <c r="P188" s="10"/>
      <c r="Q188" s="10"/>
      <c r="R188" s="10"/>
      <c r="S188" s="22" t="str">
        <f>IF($F188="","","*")</f>
        <v>*</v>
      </c>
      <c r="T188" s="158">
        <v>0.1</v>
      </c>
      <c r="U188" s="158">
        <v>0.1</v>
      </c>
      <c r="V188" s="158">
        <v>0.1</v>
      </c>
      <c r="W188" s="158">
        <v>0.09</v>
      </c>
      <c r="X188" s="158">
        <v>0.09</v>
      </c>
      <c r="Y188" s="158">
        <v>0.09</v>
      </c>
      <c r="Z188" s="158">
        <v>0.08</v>
      </c>
      <c r="AA188" s="158">
        <v>0.08</v>
      </c>
      <c r="AB188" s="158">
        <v>0.08</v>
      </c>
      <c r="AC188" s="158">
        <v>7.0000000000000007E-2</v>
      </c>
      <c r="AD188" s="10"/>
      <c r="AE188" s="10"/>
    </row>
    <row r="189" spans="1:3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11" customFormat="1" x14ac:dyDescent="0.25">
      <c r="A190" s="10"/>
      <c r="B190" s="10"/>
      <c r="C190" s="10"/>
      <c r="D190" s="10"/>
      <c r="E190" s="10"/>
      <c r="F190" s="10" t="str">
        <f>KPI!$F$148</f>
        <v>Процентная ставка (WACC) инвестиционного кредитования</v>
      </c>
      <c r="G190" s="10"/>
      <c r="H190" s="10"/>
      <c r="I190" s="10"/>
      <c r="J190" s="10" t="str">
        <f>IF($F190="","",INDEX(KPI!$I$11:$I$275,SUMIFS(KPI!$E$11:$E$275,KPI!$F$11:$F$275,$F190)))</f>
        <v>%</v>
      </c>
      <c r="K190" s="10"/>
      <c r="L190" s="10"/>
      <c r="M190" s="10"/>
      <c r="N190" s="10"/>
      <c r="O190" s="10"/>
      <c r="P190" s="10"/>
      <c r="Q190" s="10"/>
      <c r="R190" s="10"/>
      <c r="S190" s="22" t="str">
        <f>IF($F190="","","*")</f>
        <v>*</v>
      </c>
      <c r="T190" s="51">
        <v>7.0000000000000007E-2</v>
      </c>
      <c r="U190" s="51">
        <v>7.0000000000000007E-2</v>
      </c>
      <c r="V190" s="51">
        <v>7.0000000000000007E-2</v>
      </c>
      <c r="W190" s="51">
        <v>7.0000000000000007E-2</v>
      </c>
      <c r="X190" s="51">
        <v>7.0000000000000007E-2</v>
      </c>
      <c r="Y190" s="51">
        <v>7.0000000000000007E-2</v>
      </c>
      <c r="Z190" s="51">
        <v>7.0000000000000007E-2</v>
      </c>
      <c r="AA190" s="51">
        <v>7.0000000000000007E-2</v>
      </c>
      <c r="AB190" s="51">
        <v>7.0000000000000007E-2</v>
      </c>
      <c r="AC190" s="51">
        <v>7.0000000000000007E-2</v>
      </c>
      <c r="AD190" s="10"/>
      <c r="AE190" s="10"/>
    </row>
    <row r="191" spans="1:3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105" customFormat="1" x14ac:dyDescent="0.25">
      <c r="A192" s="103"/>
      <c r="B192" s="103"/>
      <c r="C192" s="103"/>
      <c r="D192" s="103"/>
      <c r="E192" s="103"/>
      <c r="F192" s="103" t="str">
        <f>KPI!$F$143</f>
        <v>период оборач-ти кред. задолж-ти перед подрядчиками по кап. затратам</v>
      </c>
      <c r="G192" s="103"/>
      <c r="H192" s="103"/>
      <c r="I192" s="103"/>
      <c r="J192" s="103" t="str">
        <f>IF($F192="","",INDEX(KPI!$I$11:$I$275,SUMIFS(KPI!$E$11:$E$275,KPI!$F$11:$F$275,$F192)))</f>
        <v>дни</v>
      </c>
      <c r="K192" s="103"/>
      <c r="L192" s="103"/>
      <c r="M192" s="103"/>
      <c r="N192" s="103"/>
      <c r="O192" s="103"/>
      <c r="P192" s="103"/>
      <c r="Q192" s="103"/>
      <c r="R192" s="103"/>
      <c r="S192" s="104" t="str">
        <f>IF($F192="","","*")</f>
        <v>*</v>
      </c>
      <c r="T192" s="106">
        <v>30</v>
      </c>
      <c r="U192" s="106">
        <v>30</v>
      </c>
      <c r="V192" s="106">
        <v>30</v>
      </c>
      <c r="W192" s="106">
        <v>30</v>
      </c>
      <c r="X192" s="106">
        <v>30</v>
      </c>
      <c r="Y192" s="106">
        <v>30</v>
      </c>
      <c r="Z192" s="106">
        <v>30</v>
      </c>
      <c r="AA192" s="106">
        <v>30</v>
      </c>
      <c r="AB192" s="106">
        <v>30</v>
      </c>
      <c r="AC192" s="106">
        <v>30</v>
      </c>
      <c r="AD192" s="103"/>
      <c r="AE192" s="103"/>
    </row>
    <row r="193" spans="1:3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105" customFormat="1" x14ac:dyDescent="0.25">
      <c r="A194" s="103"/>
      <c r="B194" s="103"/>
      <c r="C194" s="103"/>
      <c r="D194" s="103"/>
      <c r="E194" s="103"/>
      <c r="F194" s="103" t="str">
        <f>KPI!$F$155</f>
        <v>период оборач-ти кред. задолж-ти перед поставщиками СиМ</v>
      </c>
      <c r="G194" s="103"/>
      <c r="H194" s="103"/>
      <c r="I194" s="103"/>
      <c r="J194" s="103" t="str">
        <f>IF($F194="","",INDEX(KPI!$I$11:$I$275,SUMIFS(KPI!$E$11:$E$275,KPI!$F$11:$F$275,$F194)))</f>
        <v>дни</v>
      </c>
      <c r="K194" s="103"/>
      <c r="L194" s="103"/>
      <c r="M194" s="103"/>
      <c r="N194" s="103"/>
      <c r="O194" s="103"/>
      <c r="P194" s="103"/>
      <c r="Q194" s="103"/>
      <c r="R194" s="103"/>
      <c r="S194" s="104" t="str">
        <f>IF($F194="","","*")</f>
        <v>*</v>
      </c>
      <c r="T194" s="106">
        <v>20</v>
      </c>
      <c r="U194" s="106">
        <v>20</v>
      </c>
      <c r="V194" s="106">
        <v>20</v>
      </c>
      <c r="W194" s="106">
        <v>20</v>
      </c>
      <c r="X194" s="106">
        <v>20</v>
      </c>
      <c r="Y194" s="106">
        <v>20</v>
      </c>
      <c r="Z194" s="106">
        <v>20</v>
      </c>
      <c r="AA194" s="106">
        <v>20</v>
      </c>
      <c r="AB194" s="106">
        <v>20</v>
      </c>
      <c r="AC194" s="106">
        <v>20</v>
      </c>
      <c r="AD194" s="103"/>
      <c r="AE194" s="103"/>
    </row>
    <row r="195" spans="1:3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s="105" customFormat="1" x14ac:dyDescent="0.25">
      <c r="A196" s="103"/>
      <c r="B196" s="103"/>
      <c r="C196" s="103"/>
      <c r="D196" s="103"/>
      <c r="E196" s="103"/>
      <c r="F196" s="103" t="str">
        <f>KPI!$F$159</f>
        <v>период оборач-ти кред. задолж-ти по производственным расходам</v>
      </c>
      <c r="G196" s="103"/>
      <c r="H196" s="103"/>
      <c r="I196" s="103"/>
      <c r="J196" s="103" t="str">
        <f>IF($F196="","",INDEX(KPI!$I$11:$I$275,SUMIFS(KPI!$E$11:$E$275,KPI!$F$11:$F$275,$F196)))</f>
        <v>дни</v>
      </c>
      <c r="K196" s="103"/>
      <c r="L196" s="103"/>
      <c r="M196" s="103"/>
      <c r="N196" s="103"/>
      <c r="O196" s="103"/>
      <c r="P196" s="103"/>
      <c r="Q196" s="103"/>
      <c r="R196" s="103"/>
      <c r="S196" s="104" t="str">
        <f>IF($F196="","","*")</f>
        <v>*</v>
      </c>
      <c r="T196" s="106">
        <v>30</v>
      </c>
      <c r="U196" s="106">
        <v>30</v>
      </c>
      <c r="V196" s="106">
        <v>30</v>
      </c>
      <c r="W196" s="106">
        <v>30</v>
      </c>
      <c r="X196" s="106">
        <v>30</v>
      </c>
      <c r="Y196" s="106">
        <v>30</v>
      </c>
      <c r="Z196" s="106">
        <v>30</v>
      </c>
      <c r="AA196" s="106">
        <v>30</v>
      </c>
      <c r="AB196" s="106">
        <v>30</v>
      </c>
      <c r="AC196" s="106">
        <v>30</v>
      </c>
      <c r="AD196" s="103"/>
      <c r="AE196" s="103"/>
    </row>
    <row r="197" spans="1:3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s="105" customFormat="1" x14ac:dyDescent="0.25">
      <c r="A198" s="103"/>
      <c r="B198" s="103"/>
      <c r="C198" s="103"/>
      <c r="D198" s="103"/>
      <c r="E198" s="103"/>
      <c r="F198" s="103" t="str">
        <f>KPI!$F$163</f>
        <v>период оборач-ти кред. задолж-ти по расходам логистики</v>
      </c>
      <c r="G198" s="103"/>
      <c r="H198" s="103"/>
      <c r="I198" s="103"/>
      <c r="J198" s="103" t="str">
        <f>IF($F198="","",INDEX(KPI!$I$11:$I$275,SUMIFS(KPI!$E$11:$E$275,KPI!$F$11:$F$275,$F198)))</f>
        <v>дни</v>
      </c>
      <c r="K198" s="103"/>
      <c r="L198" s="103"/>
      <c r="M198" s="103"/>
      <c r="N198" s="103"/>
      <c r="O198" s="103"/>
      <c r="P198" s="103"/>
      <c r="Q198" s="103"/>
      <c r="R198" s="103"/>
      <c r="S198" s="104" t="str">
        <f>IF($F198="","","*")</f>
        <v>*</v>
      </c>
      <c r="T198" s="106">
        <v>20</v>
      </c>
      <c r="U198" s="106">
        <v>20</v>
      </c>
      <c r="V198" s="106">
        <v>20</v>
      </c>
      <c r="W198" s="106">
        <v>20</v>
      </c>
      <c r="X198" s="106">
        <v>20</v>
      </c>
      <c r="Y198" s="106">
        <v>20</v>
      </c>
      <c r="Z198" s="106">
        <v>20</v>
      </c>
      <c r="AA198" s="106">
        <v>20</v>
      </c>
      <c r="AB198" s="106">
        <v>20</v>
      </c>
      <c r="AC198" s="106">
        <v>20</v>
      </c>
      <c r="AD198" s="103"/>
      <c r="AE198" s="103"/>
    </row>
    <row r="199" spans="1:3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s="105" customFormat="1" x14ac:dyDescent="0.25">
      <c r="A200" s="103"/>
      <c r="B200" s="103"/>
      <c r="C200" s="103"/>
      <c r="D200" s="103"/>
      <c r="E200" s="103"/>
      <c r="F200" s="103" t="str">
        <f>KPI!$F$166</f>
        <v>период оборач-ти кред. задолж-ти по маркетинговым расходам</v>
      </c>
      <c r="G200" s="103"/>
      <c r="H200" s="103"/>
      <c r="I200" s="103"/>
      <c r="J200" s="103" t="str">
        <f>IF($F200="","",INDEX(KPI!$I$11:$I$275,SUMIFS(KPI!$E$11:$E$275,KPI!$F$11:$F$275,$F200)))</f>
        <v>дни</v>
      </c>
      <c r="K200" s="103"/>
      <c r="L200" s="103"/>
      <c r="M200" s="103"/>
      <c r="N200" s="103"/>
      <c r="O200" s="103"/>
      <c r="P200" s="103"/>
      <c r="Q200" s="103"/>
      <c r="R200" s="103"/>
      <c r="S200" s="104" t="str">
        <f>IF($F200="","","*")</f>
        <v>*</v>
      </c>
      <c r="T200" s="106">
        <v>60</v>
      </c>
      <c r="U200" s="106">
        <v>60</v>
      </c>
      <c r="V200" s="106">
        <v>60</v>
      </c>
      <c r="W200" s="106">
        <v>60</v>
      </c>
      <c r="X200" s="106">
        <v>60</v>
      </c>
      <c r="Y200" s="106">
        <v>60</v>
      </c>
      <c r="Z200" s="106">
        <v>60</v>
      </c>
      <c r="AA200" s="106">
        <v>60</v>
      </c>
      <c r="AB200" s="106">
        <v>60</v>
      </c>
      <c r="AC200" s="106">
        <v>60</v>
      </c>
      <c r="AD200" s="103"/>
      <c r="AE200" s="103"/>
    </row>
    <row r="201" spans="1:3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s="105" customFormat="1" x14ac:dyDescent="0.25">
      <c r="A202" s="103"/>
      <c r="B202" s="103"/>
      <c r="C202" s="103"/>
      <c r="D202" s="103"/>
      <c r="E202" s="103"/>
      <c r="F202" s="103" t="str">
        <f>KPI!$F$169</f>
        <v>период оборач-ти кред. задолж-ти перед персоналом</v>
      </c>
      <c r="G202" s="103"/>
      <c r="H202" s="103"/>
      <c r="I202" s="103"/>
      <c r="J202" s="103" t="str">
        <f>IF($F202="","",INDEX(KPI!$I$11:$I$275,SUMIFS(KPI!$E$11:$E$275,KPI!$F$11:$F$275,$F202)))</f>
        <v>дни</v>
      </c>
      <c r="K202" s="103"/>
      <c r="L202" s="103"/>
      <c r="M202" s="103"/>
      <c r="N202" s="103"/>
      <c r="O202" s="103"/>
      <c r="P202" s="103"/>
      <c r="Q202" s="103"/>
      <c r="R202" s="103"/>
      <c r="S202" s="104" t="str">
        <f>IF($F202="","","*")</f>
        <v>*</v>
      </c>
      <c r="T202" s="106">
        <v>5</v>
      </c>
      <c r="U202" s="106">
        <v>5</v>
      </c>
      <c r="V202" s="106">
        <v>5</v>
      </c>
      <c r="W202" s="106">
        <v>5</v>
      </c>
      <c r="X202" s="106">
        <v>5</v>
      </c>
      <c r="Y202" s="106">
        <v>5</v>
      </c>
      <c r="Z202" s="106">
        <v>5</v>
      </c>
      <c r="AA202" s="106">
        <v>5</v>
      </c>
      <c r="AB202" s="106">
        <v>5</v>
      </c>
      <c r="AC202" s="106">
        <v>5</v>
      </c>
      <c r="AD202" s="103"/>
      <c r="AE202" s="103"/>
    </row>
    <row r="203" spans="1:3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s="105" customFormat="1" x14ac:dyDescent="0.25">
      <c r="A204" s="103"/>
      <c r="B204" s="103"/>
      <c r="C204" s="103"/>
      <c r="D204" s="103"/>
      <c r="E204" s="103"/>
      <c r="F204" s="103" t="str">
        <f>KPI!$F$172</f>
        <v>период оборач-ти кред. задолж-ти по отчислениям в соц. фонды</v>
      </c>
      <c r="G204" s="103"/>
      <c r="H204" s="103"/>
      <c r="I204" s="103"/>
      <c r="J204" s="103" t="str">
        <f>IF($F204="","",INDEX(KPI!$I$11:$I$275,SUMIFS(KPI!$E$11:$E$275,KPI!$F$11:$F$275,$F204)))</f>
        <v>дни</v>
      </c>
      <c r="K204" s="103"/>
      <c r="L204" s="103"/>
      <c r="M204" s="103"/>
      <c r="N204" s="103"/>
      <c r="O204" s="103"/>
      <c r="P204" s="103"/>
      <c r="Q204" s="103"/>
      <c r="R204" s="103"/>
      <c r="S204" s="104" t="str">
        <f>IF($F204="","","*")</f>
        <v>*</v>
      </c>
      <c r="T204" s="106">
        <v>15</v>
      </c>
      <c r="U204" s="106">
        <v>15</v>
      </c>
      <c r="V204" s="106">
        <v>15</v>
      </c>
      <c r="W204" s="106">
        <v>15</v>
      </c>
      <c r="X204" s="106">
        <v>15</v>
      </c>
      <c r="Y204" s="106">
        <v>15</v>
      </c>
      <c r="Z204" s="106">
        <v>15</v>
      </c>
      <c r="AA204" s="106">
        <v>15</v>
      </c>
      <c r="AB204" s="106">
        <v>15</v>
      </c>
      <c r="AC204" s="106">
        <v>15</v>
      </c>
      <c r="AD204" s="103"/>
      <c r="AE204" s="103"/>
    </row>
    <row r="205" spans="1:3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s="105" customFormat="1" x14ac:dyDescent="0.25">
      <c r="A206" s="103"/>
      <c r="B206" s="103"/>
      <c r="C206" s="103"/>
      <c r="D206" s="103"/>
      <c r="E206" s="103"/>
      <c r="F206" s="103" t="str">
        <f>KPI!$F$175</f>
        <v>период оборач-ти кред. задолж-ти по АНХ расходам</v>
      </c>
      <c r="G206" s="103"/>
      <c r="H206" s="103"/>
      <c r="I206" s="103"/>
      <c r="J206" s="103" t="str">
        <f>IF($F206="","",INDEX(KPI!$I$11:$I$275,SUMIFS(KPI!$E$11:$E$275,KPI!$F$11:$F$275,$F206)))</f>
        <v>дни</v>
      </c>
      <c r="K206" s="103"/>
      <c r="L206" s="103"/>
      <c r="M206" s="103"/>
      <c r="N206" s="103"/>
      <c r="O206" s="103"/>
      <c r="P206" s="103"/>
      <c r="Q206" s="103"/>
      <c r="R206" s="103"/>
      <c r="S206" s="104" t="str">
        <f>IF($F206="","","*")</f>
        <v>*</v>
      </c>
      <c r="T206" s="106">
        <v>1</v>
      </c>
      <c r="U206" s="106">
        <v>1</v>
      </c>
      <c r="V206" s="106">
        <v>1</v>
      </c>
      <c r="W206" s="106">
        <v>1</v>
      </c>
      <c r="X206" s="106">
        <v>1</v>
      </c>
      <c r="Y206" s="106">
        <v>1</v>
      </c>
      <c r="Z206" s="106">
        <v>1</v>
      </c>
      <c r="AA206" s="106">
        <v>1</v>
      </c>
      <c r="AB206" s="106">
        <v>1</v>
      </c>
      <c r="AC206" s="106">
        <v>1</v>
      </c>
      <c r="AD206" s="103"/>
      <c r="AE206" s="103"/>
    </row>
    <row r="207" spans="1:3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s="105" customFormat="1" x14ac:dyDescent="0.25">
      <c r="A208" s="103"/>
      <c r="B208" s="103"/>
      <c r="C208" s="103"/>
      <c r="D208" s="103"/>
      <c r="E208" s="103"/>
      <c r="F208" s="103" t="str">
        <f>KPI!$F$178</f>
        <v>период оборач-ти дебиторской задолж-ти клиентов</v>
      </c>
      <c r="G208" s="103"/>
      <c r="H208" s="103"/>
      <c r="I208" s="103"/>
      <c r="J208" s="103" t="str">
        <f>IF($F208="","",INDEX(KPI!$I$11:$I$275,SUMIFS(KPI!$E$11:$E$275,KPI!$F$11:$F$275,$F208)))</f>
        <v>дни</v>
      </c>
      <c r="K208" s="103"/>
      <c r="L208" s="103"/>
      <c r="M208" s="103"/>
      <c r="N208" s="103"/>
      <c r="O208" s="103"/>
      <c r="P208" s="103"/>
      <c r="Q208" s="103"/>
      <c r="R208" s="103"/>
      <c r="S208" s="104" t="str">
        <f>IF($F208="","","*")</f>
        <v>*</v>
      </c>
      <c r="T208" s="106">
        <v>2</v>
      </c>
      <c r="U208" s="106">
        <v>2</v>
      </c>
      <c r="V208" s="106">
        <v>2</v>
      </c>
      <c r="W208" s="106">
        <v>2</v>
      </c>
      <c r="X208" s="106">
        <v>2</v>
      </c>
      <c r="Y208" s="106">
        <v>2</v>
      </c>
      <c r="Z208" s="106">
        <v>2</v>
      </c>
      <c r="AA208" s="106">
        <v>2</v>
      </c>
      <c r="AB208" s="106">
        <v>2</v>
      </c>
      <c r="AC208" s="106">
        <v>2</v>
      </c>
      <c r="AD208" s="103"/>
      <c r="AE208" s="103"/>
    </row>
    <row r="209" spans="1:3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s="11" customFormat="1" x14ac:dyDescent="0.25">
      <c r="A210" s="10"/>
      <c r="B210" s="10"/>
      <c r="C210" s="10"/>
      <c r="D210" s="10"/>
      <c r="E210" s="10"/>
      <c r="F210" s="10" t="str">
        <f>KPI!$F$184</f>
        <v>Процентная ставка по овердрафту на пополнение оборотных средств</v>
      </c>
      <c r="G210" s="10"/>
      <c r="H210" s="10"/>
      <c r="I210" s="10"/>
      <c r="J210" s="10" t="str">
        <f>IF($F210="","",INDEX(KPI!$I$11:$I$275,SUMIFS(KPI!$E$11:$E$275,KPI!$F$11:$F$275,$F210)))</f>
        <v>%</v>
      </c>
      <c r="K210" s="10"/>
      <c r="L210" s="10"/>
      <c r="M210" s="10"/>
      <c r="N210" s="10"/>
      <c r="O210" s="10"/>
      <c r="P210" s="10"/>
      <c r="Q210" s="10"/>
      <c r="R210" s="10"/>
      <c r="S210" s="22" t="str">
        <f>IF($F210="","","*")</f>
        <v>*</v>
      </c>
      <c r="T210" s="51">
        <v>0.15</v>
      </c>
      <c r="U210" s="51">
        <v>0.15</v>
      </c>
      <c r="V210" s="51">
        <v>0.12</v>
      </c>
      <c r="W210" s="51">
        <v>0.12</v>
      </c>
      <c r="X210" s="51">
        <v>0.12</v>
      </c>
      <c r="Y210" s="51">
        <v>0.1</v>
      </c>
      <c r="Z210" s="51">
        <v>0.1</v>
      </c>
      <c r="AA210" s="51">
        <v>0.1</v>
      </c>
      <c r="AB210" s="51">
        <v>0.08</v>
      </c>
      <c r="AC210" s="51">
        <v>0.08</v>
      </c>
      <c r="AD210" s="10"/>
      <c r="AE210" s="10"/>
    </row>
    <row r="211" spans="1:3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</sheetData>
  <conditionalFormatting sqref="M11">
    <cfRule type="containsBlanks" dxfId="498" priority="76">
      <formula>LEN(TRIM(M11))=0</formula>
    </cfRule>
  </conditionalFormatting>
  <conditionalFormatting sqref="T8:AC9">
    <cfRule type="containsBlanks" dxfId="497" priority="75">
      <formula>LEN(TRIM(T8))=0</formula>
    </cfRule>
  </conditionalFormatting>
  <conditionalFormatting sqref="T13:AC13">
    <cfRule type="containsBlanks" dxfId="496" priority="74">
      <formula>LEN(TRIM(T13))=0</formula>
    </cfRule>
  </conditionalFormatting>
  <conditionalFormatting sqref="T17:AC18">
    <cfRule type="containsBlanks" dxfId="495" priority="73">
      <formula>LEN(TRIM(T17))=0</formula>
    </cfRule>
  </conditionalFormatting>
  <conditionalFormatting sqref="T21:AC32">
    <cfRule type="containsBlanks" dxfId="494" priority="72">
      <formula>LEN(TRIM(T21))=0</formula>
    </cfRule>
  </conditionalFormatting>
  <conditionalFormatting sqref="T48:AC48">
    <cfRule type="containsBlanks" dxfId="493" priority="71">
      <formula>LEN(TRIM(T48))=0</formula>
    </cfRule>
  </conditionalFormatting>
  <conditionalFormatting sqref="Q50">
    <cfRule type="containsBlanks" dxfId="492" priority="70">
      <formula>LEN(TRIM(Q50))=0</formula>
    </cfRule>
  </conditionalFormatting>
  <conditionalFormatting sqref="Q52 Q56 Q54">
    <cfRule type="containsBlanks" dxfId="491" priority="69">
      <formula>LEN(TRIM(Q52))=0</formula>
    </cfRule>
  </conditionalFormatting>
  <conditionalFormatting sqref="T58:AC58 T62:AC62 T60:AC60">
    <cfRule type="containsBlanks" dxfId="490" priority="68">
      <formula>LEN(TRIM(T58))=0</formula>
    </cfRule>
  </conditionalFormatting>
  <conditionalFormatting sqref="Q66:Q76">
    <cfRule type="containsBlanks" dxfId="489" priority="67">
      <formula>LEN(TRIM(Q66))=0</formula>
    </cfRule>
  </conditionalFormatting>
  <conditionalFormatting sqref="T79:AC79">
    <cfRule type="containsBlanks" dxfId="488" priority="66">
      <formula>LEN(TRIM(T79))=0</formula>
    </cfRule>
  </conditionalFormatting>
  <conditionalFormatting sqref="T81:AC81">
    <cfRule type="containsBlanks" dxfId="487" priority="65">
      <formula>LEN(TRIM(T81))=0</formula>
    </cfRule>
  </conditionalFormatting>
  <conditionalFormatting sqref="Q83 T85:AC85 Q87:Q97">
    <cfRule type="containsBlanks" dxfId="486" priority="64">
      <formula>LEN(TRIM(Q83))=0</formula>
    </cfRule>
  </conditionalFormatting>
  <conditionalFormatting sqref="Q100 Q102">
    <cfRule type="containsBlanks" dxfId="485" priority="63">
      <formula>LEN(TRIM(Q100))=0</formula>
    </cfRule>
  </conditionalFormatting>
  <conditionalFormatting sqref="T104:AC104">
    <cfRule type="containsBlanks" dxfId="484" priority="62">
      <formula>LEN(TRIM(T104))=0</formula>
    </cfRule>
  </conditionalFormatting>
  <conditionalFormatting sqref="Q106">
    <cfRule type="containsBlanks" dxfId="483" priority="61">
      <formula>LEN(TRIM(Q106))=0</formula>
    </cfRule>
  </conditionalFormatting>
  <conditionalFormatting sqref="T108:AC108">
    <cfRule type="containsBlanks" dxfId="482" priority="60">
      <formula>LEN(TRIM(T108))=0</formula>
    </cfRule>
  </conditionalFormatting>
  <conditionalFormatting sqref="Q112 Q110">
    <cfRule type="containsBlanks" dxfId="481" priority="58">
      <formula>LEN(TRIM(Q110))=0</formula>
    </cfRule>
  </conditionalFormatting>
  <conditionalFormatting sqref="Q114">
    <cfRule type="containsBlanks" dxfId="480" priority="57">
      <formula>LEN(TRIM(Q114))=0</formula>
    </cfRule>
  </conditionalFormatting>
  <conditionalFormatting sqref="Q116">
    <cfRule type="containsBlanks" dxfId="479" priority="56">
      <formula>LEN(TRIM(Q116))=0</formula>
    </cfRule>
  </conditionalFormatting>
  <conditionalFormatting sqref="Q118">
    <cfRule type="containsBlanks" dxfId="478" priority="55">
      <formula>LEN(TRIM(Q118))=0</formula>
    </cfRule>
  </conditionalFormatting>
  <conditionalFormatting sqref="Q120">
    <cfRule type="containsBlanks" dxfId="477" priority="54">
      <formula>LEN(TRIM(Q120))=0</formula>
    </cfRule>
  </conditionalFormatting>
  <conditionalFormatting sqref="Q122">
    <cfRule type="containsBlanks" dxfId="476" priority="53">
      <formula>LEN(TRIM(Q122))=0</formula>
    </cfRule>
  </conditionalFormatting>
  <conditionalFormatting sqref="Q124">
    <cfRule type="containsBlanks" dxfId="475" priority="52">
      <formula>LEN(TRIM(Q124))=0</formula>
    </cfRule>
  </conditionalFormatting>
  <conditionalFormatting sqref="Q126">
    <cfRule type="containsBlanks" dxfId="474" priority="51">
      <formula>LEN(TRIM(Q126))=0</formula>
    </cfRule>
  </conditionalFormatting>
  <conditionalFormatting sqref="Q128">
    <cfRule type="containsBlanks" dxfId="473" priority="50">
      <formula>LEN(TRIM(Q128))=0</formula>
    </cfRule>
  </conditionalFormatting>
  <conditionalFormatting sqref="Q136">
    <cfRule type="containsBlanks" dxfId="472" priority="43">
      <formula>LEN(TRIM(Q136))=0</formula>
    </cfRule>
  </conditionalFormatting>
  <conditionalFormatting sqref="T130:AC130">
    <cfRule type="containsBlanks" dxfId="471" priority="48">
      <formula>LEN(TRIM(T130))=0</formula>
    </cfRule>
  </conditionalFormatting>
  <conditionalFormatting sqref="T132:AC132">
    <cfRule type="containsBlanks" dxfId="470" priority="46">
      <formula>LEN(TRIM(T132))=0</formula>
    </cfRule>
  </conditionalFormatting>
  <conditionalFormatting sqref="Q138">
    <cfRule type="containsBlanks" dxfId="469" priority="42">
      <formula>LEN(TRIM(Q138))=0</formula>
    </cfRule>
  </conditionalFormatting>
  <conditionalFormatting sqref="Q142">
    <cfRule type="containsBlanks" dxfId="468" priority="40">
      <formula>LEN(TRIM(Q142))=0</formula>
    </cfRule>
  </conditionalFormatting>
  <conditionalFormatting sqref="T134:AC134">
    <cfRule type="containsBlanks" dxfId="467" priority="44">
      <formula>LEN(TRIM(T134))=0</formula>
    </cfRule>
  </conditionalFormatting>
  <conditionalFormatting sqref="Q140">
    <cfRule type="containsBlanks" dxfId="466" priority="41">
      <formula>LEN(TRIM(Q140))=0</formula>
    </cfRule>
  </conditionalFormatting>
  <conditionalFormatting sqref="Q144">
    <cfRule type="containsBlanks" dxfId="465" priority="39">
      <formula>LEN(TRIM(Q144))=0</formula>
    </cfRule>
  </conditionalFormatting>
  <conditionalFormatting sqref="Q146">
    <cfRule type="containsBlanks" dxfId="464" priority="38">
      <formula>LEN(TRIM(Q146))=0</formula>
    </cfRule>
  </conditionalFormatting>
  <conditionalFormatting sqref="Q148">
    <cfRule type="containsBlanks" dxfId="463" priority="37">
      <formula>LEN(TRIM(Q148))=0</formula>
    </cfRule>
  </conditionalFormatting>
  <conditionalFormatting sqref="Q150">
    <cfRule type="containsBlanks" dxfId="462" priority="36">
      <formula>LEN(TRIM(Q150))=0</formula>
    </cfRule>
  </conditionalFormatting>
  <conditionalFormatting sqref="Q152">
    <cfRule type="containsBlanks" dxfId="461" priority="35">
      <formula>LEN(TRIM(Q152))=0</formula>
    </cfRule>
  </conditionalFormatting>
  <conditionalFormatting sqref="Q154">
    <cfRule type="containsBlanks" dxfId="460" priority="34">
      <formula>LEN(TRIM(Q154))=0</formula>
    </cfRule>
  </conditionalFormatting>
  <conditionalFormatting sqref="Q156">
    <cfRule type="containsBlanks" dxfId="459" priority="33">
      <formula>LEN(TRIM(Q156))=0</formula>
    </cfRule>
  </conditionalFormatting>
  <conditionalFormatting sqref="Q158">
    <cfRule type="containsBlanks" dxfId="458" priority="32">
      <formula>LEN(TRIM(Q158))=0</formula>
    </cfRule>
  </conditionalFormatting>
  <conditionalFormatting sqref="Q160">
    <cfRule type="containsBlanks" dxfId="457" priority="31">
      <formula>LEN(TRIM(Q160))=0</formula>
    </cfRule>
  </conditionalFormatting>
  <conditionalFormatting sqref="Q168">
    <cfRule type="containsBlanks" dxfId="456" priority="25">
      <formula>LEN(TRIM(Q168))=0</formula>
    </cfRule>
  </conditionalFormatting>
  <conditionalFormatting sqref="Q164">
    <cfRule type="containsBlanks" dxfId="455" priority="29">
      <formula>LEN(TRIM(Q164))=0</formula>
    </cfRule>
  </conditionalFormatting>
  <conditionalFormatting sqref="T162:AC162">
    <cfRule type="containsBlanks" dxfId="454" priority="27">
      <formula>LEN(TRIM(T162))=0</formula>
    </cfRule>
  </conditionalFormatting>
  <conditionalFormatting sqref="Q166">
    <cfRule type="containsBlanks" dxfId="453" priority="26">
      <formula>LEN(TRIM(Q166))=0</formula>
    </cfRule>
  </conditionalFormatting>
  <conditionalFormatting sqref="T170:AC170">
    <cfRule type="containsBlanks" dxfId="452" priority="22">
      <formula>LEN(TRIM(T170))=0</formula>
    </cfRule>
  </conditionalFormatting>
  <conditionalFormatting sqref="Q172">
    <cfRule type="containsBlanks" dxfId="451" priority="23">
      <formula>LEN(TRIM(Q172))=0</formula>
    </cfRule>
  </conditionalFormatting>
  <conditionalFormatting sqref="Q174">
    <cfRule type="containsBlanks" dxfId="450" priority="21">
      <formula>LEN(TRIM(Q174))=0</formula>
    </cfRule>
  </conditionalFormatting>
  <conditionalFormatting sqref="Q176">
    <cfRule type="containsBlanks" dxfId="449" priority="20">
      <formula>LEN(TRIM(Q176))=0</formula>
    </cfRule>
  </conditionalFormatting>
  <conditionalFormatting sqref="Q178">
    <cfRule type="containsBlanks" dxfId="448" priority="19">
      <formula>LEN(TRIM(Q178))=0</formula>
    </cfRule>
  </conditionalFormatting>
  <conditionalFormatting sqref="T180:AC180">
    <cfRule type="containsBlanks" dxfId="447" priority="18">
      <formula>LEN(TRIM(T180))=0</formula>
    </cfRule>
  </conditionalFormatting>
  <conditionalFormatting sqref="T182:AC182">
    <cfRule type="containsBlanks" dxfId="446" priority="17">
      <formula>LEN(TRIM(T182))=0</formula>
    </cfRule>
  </conditionalFormatting>
  <conditionalFormatting sqref="T184:AC184">
    <cfRule type="containsBlanks" dxfId="445" priority="16">
      <formula>LEN(TRIM(T184))=0</formula>
    </cfRule>
  </conditionalFormatting>
  <conditionalFormatting sqref="Q186">
    <cfRule type="containsBlanks" dxfId="444" priority="14">
      <formula>LEN(TRIM(Q186))=0</formula>
    </cfRule>
  </conditionalFormatting>
  <conditionalFormatting sqref="T188:AC188 T192:AC192 T190:AC190 T194:AC194 T196:AC196 T198:AC198 T202:AC202 T204:AC204 T206:AC206 T208:AC208 T210:AC210 T200:AC200">
    <cfRule type="containsBlanks" dxfId="443" priority="13">
      <formula>LEN(TRIM(#REF!))=0</formula>
    </cfRule>
  </conditionalFormatting>
  <conditionalFormatting sqref="T190:AC190 T192:AC192 T194:AC194 T196:AC196 T198:AC198 T200:AC200 T202:AC202 T204:AC204 T206:AC206 T208:AC208 T210:AC210">
    <cfRule type="containsBlanks" dxfId="442" priority="1">
      <formula>LEN(TRIM(T190))=0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структура!$D$11:$D$18</xm:f>
          </x14:formula1>
          <xm:sqref>M11</xm:sqref>
        </x14:dataValidation>
        <x14:dataValidation type="list" allowBlank="1" showInputMessage="1" showErrorMessage="1">
          <x14:formula1>
            <xm:f>структура!$G$11:$G$15</xm:f>
          </x14:formula1>
          <xm:sqref>M15</xm:sqref>
        </x14:dataValidation>
        <x14:dataValidation type="list" allowBlank="1" showInputMessage="1" showErrorMessage="1">
          <x14:formula1>
            <xm:f>структура!$D$11:$D$18</xm:f>
          </x14:formula1>
          <xm:sqref>M11</xm:sqref>
        </x14:dataValidation>
        <x14:dataValidation type="list" allowBlank="1" showInputMessage="1" showErrorMessage="1">
          <x14:formula1>
            <xm:f>структура!$G$11:$G$15</xm:f>
          </x14:formula1>
          <xm:sqref>M15</xm:sqref>
        </x14:dataValidation>
        <x14:dataValidation type="list" allowBlank="1" showInputMessage="1" showErrorMessage="1">
          <x14:formula1>
            <xm:f>структура!$J$11:$J$22</xm:f>
          </x14:formula1>
          <xm:sqref>T17:AC18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A260"/>
  <sheetViews>
    <sheetView showGridLines="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A7" sqref="A7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оглавление!$F$15</f>
        <v>NPV-АНАЛИЗ ИНВЕСТМОДЕЛИ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2021г.</v>
      </c>
      <c r="Q7" s="25" t="str">
        <f>IF(условия!U7="","",условия!U7)</f>
        <v>2022г.</v>
      </c>
      <c r="R7" s="25" t="str">
        <f>IF(условия!V7="","",условия!V7)</f>
        <v>2023г.</v>
      </c>
      <c r="S7" s="25" t="str">
        <f>IF(условия!W7="","",условия!W7)</f>
        <v>2024г.</v>
      </c>
      <c r="T7" s="25" t="str">
        <f>IF(условия!X7="","",условия!X7)</f>
        <v>2025г.</v>
      </c>
      <c r="U7" s="25" t="str">
        <f>IF(условия!Y7="","",условия!Y7)</f>
        <v>2026г.</v>
      </c>
      <c r="V7" s="25" t="str">
        <f>IF(условия!Z7="","",условия!Z7)</f>
        <v>2027г.</v>
      </c>
      <c r="W7" s="25" t="str">
        <f>IF(условия!AA7="","",условия!AA7)</f>
        <v>2028г.</v>
      </c>
      <c r="X7" s="25" t="str">
        <f>IF(условия!AB7="","",условия!AB7)</f>
        <v>2029г.</v>
      </c>
      <c r="Y7" s="25" t="str">
        <f>IF(условия!AC7="","",условия!AC7)</f>
        <v>2030г.</v>
      </c>
      <c r="Z7" s="3"/>
      <c r="AA7" s="3"/>
    </row>
    <row r="8" spans="1:27" x14ac:dyDescent="0.25">
      <c r="A8" s="3"/>
      <c r="B8" s="3"/>
      <c r="C8" s="171">
        <f>BS!$C$8</f>
        <v>4.6566128730773926E-10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169" t="s">
        <v>4</v>
      </c>
      <c r="N8" s="3"/>
      <c r="O8" s="3"/>
      <c r="P8" s="24">
        <f>IF(условия!T8="","",условия!T8)</f>
        <v>44197</v>
      </c>
      <c r="Q8" s="24">
        <f>IF(условия!U8="","",условия!U8)</f>
        <v>44562</v>
      </c>
      <c r="R8" s="24">
        <f>IF(условия!V8="","",условия!V8)</f>
        <v>44927</v>
      </c>
      <c r="S8" s="24">
        <f>IF(условия!W8="","",условия!W8)</f>
        <v>45292</v>
      </c>
      <c r="T8" s="24">
        <f>IF(условия!X8="","",условия!X8)</f>
        <v>45658</v>
      </c>
      <c r="U8" s="24">
        <f>IF(условия!Y8="","",условия!Y8)</f>
        <v>46023</v>
      </c>
      <c r="V8" s="24">
        <f>IF(условия!Z8="","",условия!Z8)</f>
        <v>46388</v>
      </c>
      <c r="W8" s="24">
        <f>IF(условия!AA8="","",условия!AA8)</f>
        <v>46753</v>
      </c>
      <c r="X8" s="24">
        <f>IF(условия!AB8="","",условия!AB8)</f>
        <v>47119</v>
      </c>
      <c r="Y8" s="24">
        <f>IF(условия!AC8="","",условия!AC8)</f>
        <v>47484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68" t="s">
        <v>278</v>
      </c>
      <c r="N9" s="10"/>
      <c r="O9" s="3"/>
      <c r="P9" s="61">
        <f>IF(условия!T9="","",условия!T9)</f>
        <v>44561</v>
      </c>
      <c r="Q9" s="61">
        <f>IF(условия!U9="","",условия!U9)</f>
        <v>44926</v>
      </c>
      <c r="R9" s="61">
        <f>IF(условия!V9="","",условия!V9)</f>
        <v>45291</v>
      </c>
      <c r="S9" s="61">
        <f>IF(условия!W9="","",условия!W9)</f>
        <v>45657</v>
      </c>
      <c r="T9" s="61">
        <f>IF(условия!X9="","",условия!X9)</f>
        <v>46022</v>
      </c>
      <c r="U9" s="61">
        <f>IF(условия!Y9="","",условия!Y9)</f>
        <v>46387</v>
      </c>
      <c r="V9" s="61">
        <f>IF(условия!Z9="","",условия!Z9)</f>
        <v>46752</v>
      </c>
      <c r="W9" s="61">
        <f>IF(условия!AA9="","",условия!AA9)</f>
        <v>47118</v>
      </c>
      <c r="X9" s="61">
        <f>IF(условия!AB9="","",условия!AB9)</f>
        <v>47483</v>
      </c>
      <c r="Y9" s="61">
        <f>IF(условия!AC9="","",условия!AC9)</f>
        <v>47848</v>
      </c>
      <c r="Z9" s="3"/>
      <c r="AA9" s="3"/>
    </row>
    <row r="10" spans="1:27" x14ac:dyDescent="0.25">
      <c r="A10" s="3"/>
      <c r="B10" s="3"/>
      <c r="C10" s="3"/>
      <c r="D10" s="3"/>
      <c r="E10" s="55"/>
      <c r="F10" s="60"/>
      <c r="G10" s="3"/>
      <c r="H10" s="3"/>
      <c r="I10" s="3"/>
      <c r="J10" s="60"/>
      <c r="K10" s="3"/>
      <c r="L10" s="3"/>
      <c r="M10" s="62"/>
      <c r="N10" s="3"/>
      <c r="O10" s="3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3"/>
      <c r="AA10" s="3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11" customFormat="1" x14ac:dyDescent="0.25">
      <c r="A12" s="10"/>
      <c r="B12" s="10"/>
      <c r="C12" s="10"/>
      <c r="D12" s="10"/>
      <c r="E12" s="139"/>
      <c r="F12" s="165" t="str">
        <f>KPI!$F$146</f>
        <v>Инвестиционные вложения</v>
      </c>
      <c r="G12" s="10"/>
      <c r="H12" s="10"/>
      <c r="I12" s="10"/>
      <c r="J12" s="166" t="str">
        <f>IF($F12="","",INDEX(KPI!$I$11:$I$275,SUMIFS(KPI!$E$11:$E$275,KPI!$F$11:$F$275,$F12)))</f>
        <v>тыс.руб.</v>
      </c>
      <c r="K12" s="10"/>
      <c r="L12" s="10"/>
      <c r="M12" s="167">
        <f>SUM(O12:Z12)</f>
        <v>208696.64053424762</v>
      </c>
      <c r="N12" s="10"/>
      <c r="O12" s="10"/>
      <c r="P12" s="167">
        <f>SUMIFS(CF!P:P,CF!$F:$F,$F12)</f>
        <v>70000</v>
      </c>
      <c r="Q12" s="167">
        <f>SUMIFS(CF!Q:Q,CF!$F:$F,$F12)</f>
        <v>0</v>
      </c>
      <c r="R12" s="167">
        <f>SUMIFS(CF!R:R,CF!$F:$F,$F12)</f>
        <v>0</v>
      </c>
      <c r="S12" s="167">
        <f>SUMIFS(CF!S:S,CF!$F:$F,$F12)</f>
        <v>0</v>
      </c>
      <c r="T12" s="167">
        <f>SUMIFS(CF!T:T,CF!$F:$F,$F12)</f>
        <v>63628.733420000019</v>
      </c>
      <c r="U12" s="167">
        <f>SUMIFS(CF!U:U,CF!$F:$F,$F12)</f>
        <v>0</v>
      </c>
      <c r="V12" s="167">
        <f>SUMIFS(CF!V:V,CF!$F:$F,$F12)</f>
        <v>0</v>
      </c>
      <c r="W12" s="167">
        <f>SUMIFS(CF!W:W,CF!$F:$F,$F12)</f>
        <v>75067.907114247631</v>
      </c>
      <c r="X12" s="167">
        <f>SUMIFS(CF!X:X,CF!$F:$F,$F12)</f>
        <v>0</v>
      </c>
      <c r="Y12" s="167">
        <f>SUMIFS(CF!Y:Y,CF!$F:$F,$F12)</f>
        <v>0</v>
      </c>
      <c r="Z12" s="10"/>
      <c r="AA12" s="10"/>
    </row>
    <row r="13" spans="1:27" s="93" customFormat="1" ht="6.6" x14ac:dyDescent="0.15">
      <c r="A13" s="90"/>
      <c r="B13" s="90"/>
      <c r="C13" s="90"/>
      <c r="D13" s="90"/>
      <c r="E13" s="91"/>
      <c r="F13" s="96"/>
      <c r="G13" s="90"/>
      <c r="H13" s="90"/>
      <c r="I13" s="90"/>
      <c r="J13" s="96"/>
      <c r="K13" s="90"/>
      <c r="L13" s="90"/>
      <c r="M13" s="97"/>
      <c r="N13" s="90"/>
      <c r="O13" s="90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KPI!$F$251</f>
        <v>коэффициент дисконтирования</v>
      </c>
      <c r="G14" s="3"/>
      <c r="H14" s="3"/>
      <c r="I14" s="3"/>
      <c r="J14" s="81" t="str">
        <f>IF($F14="","",INDEX(KPI!$I$11:$I$275,SUMIFS(KPI!$E$11:$E$275,KPI!$F$11:$F$275,$F14)))</f>
        <v>%</v>
      </c>
      <c r="K14" s="3"/>
      <c r="L14" s="3"/>
      <c r="M14" s="82"/>
      <c r="N14" s="3"/>
      <c r="O14" s="3"/>
      <c r="P14" s="157">
        <f>1+условия!T$188</f>
        <v>1.1000000000000001</v>
      </c>
      <c r="Q14" s="157">
        <f>P14*(1+условия!U$188)</f>
        <v>1.2100000000000002</v>
      </c>
      <c r="R14" s="157">
        <f>Q14*(1+условия!V$188)</f>
        <v>1.3310000000000004</v>
      </c>
      <c r="S14" s="157">
        <f>R14*(1+условия!W$188)</f>
        <v>1.4507900000000005</v>
      </c>
      <c r="T14" s="157">
        <f>S14*(1+условия!X$188)</f>
        <v>1.5813611000000005</v>
      </c>
      <c r="U14" s="157">
        <f>T14*(1+условия!Y$188)</f>
        <v>1.7236835990000008</v>
      </c>
      <c r="V14" s="157">
        <f>U14*(1+условия!Z$188)</f>
        <v>1.861578286920001</v>
      </c>
      <c r="W14" s="157">
        <f>V14*(1+условия!AA$188)</f>
        <v>2.0105045498736014</v>
      </c>
      <c r="X14" s="157">
        <f>W14*(1+условия!AB$188)</f>
        <v>2.1713449138634897</v>
      </c>
      <c r="Y14" s="157">
        <f>X14*(1+условия!AC$188)</f>
        <v>2.3233390578339339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77" customFormat="1" ht="15" thickBot="1" x14ac:dyDescent="0.35">
      <c r="A16" s="75"/>
      <c r="B16" s="75"/>
      <c r="C16" s="75"/>
      <c r="D16" s="75"/>
      <c r="E16" s="76"/>
      <c r="F16" s="78" t="str">
        <f>KPI!$F$250</f>
        <v>NPV инвестиционных вложений (Inv)</v>
      </c>
      <c r="G16" s="75"/>
      <c r="H16" s="75"/>
      <c r="I16" s="75"/>
      <c r="J16" s="78" t="str">
        <f>IF($F16="","",INDEX(KPI!$I$11:$I$275,SUMIFS(KPI!$E$11:$E$275,KPI!$F$11:$F$275,$F16)))</f>
        <v>тыс.руб.</v>
      </c>
      <c r="K16" s="75"/>
      <c r="L16" s="75"/>
      <c r="M16" s="79">
        <f>SUM(O16:Z16)</f>
        <v>141210.89670799428</v>
      </c>
      <c r="N16" s="75"/>
      <c r="O16" s="75"/>
      <c r="P16" s="79">
        <f>IF(P14=0,0,P12/P14)</f>
        <v>63636.363636363632</v>
      </c>
      <c r="Q16" s="79">
        <f t="shared" ref="Q16:Y16" si="1">IF(Q14=0,0,Q12/Q14)</f>
        <v>0</v>
      </c>
      <c r="R16" s="79">
        <f t="shared" si="1"/>
        <v>0</v>
      </c>
      <c r="S16" s="79">
        <f t="shared" si="1"/>
        <v>0</v>
      </c>
      <c r="T16" s="79">
        <f t="shared" si="1"/>
        <v>40236.688141626852</v>
      </c>
      <c r="U16" s="79">
        <f t="shared" si="1"/>
        <v>0</v>
      </c>
      <c r="V16" s="79">
        <f t="shared" si="1"/>
        <v>0</v>
      </c>
      <c r="W16" s="79">
        <f t="shared" si="1"/>
        <v>37337.844930003805</v>
      </c>
      <c r="X16" s="79">
        <f t="shared" si="1"/>
        <v>0</v>
      </c>
      <c r="Y16" s="79">
        <f t="shared" si="1"/>
        <v>0</v>
      </c>
      <c r="Z16" s="75"/>
      <c r="AA16" s="7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163" customFormat="1" ht="13.8" x14ac:dyDescent="0.3">
      <c r="A18" s="159"/>
      <c r="B18" s="159"/>
      <c r="C18" s="159"/>
      <c r="D18" s="159"/>
      <c r="E18" s="160"/>
      <c r="F18" s="161" t="str">
        <f>KPI!$F$207</f>
        <v>Поступления ДС - итого</v>
      </c>
      <c r="G18" s="159"/>
      <c r="H18" s="159"/>
      <c r="I18" s="159"/>
      <c r="J18" s="161" t="str">
        <f>IF($F18="","",INDEX(KPI!$I$11:$I$275,SUMIFS(KPI!$E$11:$E$275,KPI!$F$11:$F$275,$F18)))</f>
        <v>тыс.руб.</v>
      </c>
      <c r="K18" s="159"/>
      <c r="L18" s="159"/>
      <c r="M18" s="162">
        <f>SUM(O18:Z18)</f>
        <v>14200755.698026091</v>
      </c>
      <c r="N18" s="159"/>
      <c r="O18" s="159"/>
      <c r="P18" s="162">
        <f>SUMIFS(CF!P:P,CF!$F:$F,$F18)</f>
        <v>120648.58180809113</v>
      </c>
      <c r="Q18" s="162">
        <f>SUMIFS(CF!Q:Q,CF!$F:$F,$F18)</f>
        <v>166004.7081319167</v>
      </c>
      <c r="R18" s="162">
        <f>SUMIFS(CF!R:R,CF!$F:$F,$F18)</f>
        <v>367771.66393813799</v>
      </c>
      <c r="S18" s="162">
        <f>SUMIFS(CF!S:S,CF!$F:$F,$F18)</f>
        <v>673233.30694879894</v>
      </c>
      <c r="T18" s="162">
        <f>SUMIFS(CF!T:T,CF!$F:$F,$F18)</f>
        <v>1362515.422602185</v>
      </c>
      <c r="U18" s="162">
        <f>SUMIFS(CF!U:U,CF!$F:$F,$F18)</f>
        <v>1953865.7053834444</v>
      </c>
      <c r="V18" s="162">
        <f>SUMIFS(CF!V:V,CF!$F:$F,$F18)</f>
        <v>2253920.7933888729</v>
      </c>
      <c r="W18" s="162">
        <f>SUMIFS(CF!W:W,CF!$F:$F,$F18)</f>
        <v>2330398.0323397033</v>
      </c>
      <c r="X18" s="162">
        <f>SUMIFS(CF!X:X,CF!$F:$F,$F18)</f>
        <v>2442223.418171268</v>
      </c>
      <c r="Y18" s="162">
        <f>SUMIFS(CF!Y:Y,CF!$F:$F,$F18)</f>
        <v>2530174.0653136722</v>
      </c>
      <c r="Z18" s="159"/>
      <c r="AA18" s="159"/>
    </row>
    <row r="19" spans="1:27" s="101" customFormat="1" ht="6.6" x14ac:dyDescent="0.15">
      <c r="A19" s="99"/>
      <c r="B19" s="99"/>
      <c r="C19" s="99"/>
      <c r="D19" s="99"/>
      <c r="E19" s="91"/>
      <c r="F19" s="99"/>
      <c r="G19" s="99"/>
      <c r="H19" s="99"/>
      <c r="I19" s="99"/>
      <c r="J19" s="99"/>
      <c r="K19" s="99"/>
      <c r="L19" s="99"/>
      <c r="M19" s="100"/>
      <c r="N19" s="99"/>
      <c r="O19" s="99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99"/>
      <c r="AA19" s="99"/>
    </row>
    <row r="20" spans="1:27" s="66" customFormat="1" ht="13.8" x14ac:dyDescent="0.3">
      <c r="A20" s="65"/>
      <c r="B20" s="65"/>
      <c r="C20" s="65"/>
      <c r="D20" s="65"/>
      <c r="E20" s="72"/>
      <c r="F20" s="85" t="str">
        <f>KPI!$F$252</f>
        <v>NPV притока ДС (CFIn)</v>
      </c>
      <c r="G20" s="65"/>
      <c r="H20" s="65"/>
      <c r="I20" s="65"/>
      <c r="J20" s="85" t="str">
        <f>IF($F20="","",INDEX(KPI!$I$11:$I$275,SUMIFS(KPI!$E$11:$E$275,KPI!$F$11:$F$275,$F20)))</f>
        <v>тыс.руб.</v>
      </c>
      <c r="K20" s="65"/>
      <c r="L20" s="65"/>
      <c r="M20" s="88">
        <f>SUM(O20:Z20)</f>
        <v>7566028.32896554</v>
      </c>
      <c r="N20" s="65"/>
      <c r="O20" s="65"/>
      <c r="P20" s="88">
        <f>IF(P14=0,0,P18/P14)</f>
        <v>109680.52891644646</v>
      </c>
      <c r="Q20" s="88">
        <f t="shared" ref="Q20:Y20" si="2">IF(Q14=0,0,Q18/Q14)</f>
        <v>137193.97366274105</v>
      </c>
      <c r="R20" s="88">
        <f t="shared" si="2"/>
        <v>276312.29446892405</v>
      </c>
      <c r="S20" s="88">
        <f t="shared" si="2"/>
        <v>464046.0073124289</v>
      </c>
      <c r="T20" s="88">
        <f t="shared" si="2"/>
        <v>861609.29505739361</v>
      </c>
      <c r="U20" s="88">
        <f t="shared" si="2"/>
        <v>1133540.811386141</v>
      </c>
      <c r="V20" s="88">
        <f t="shared" si="2"/>
        <v>1210757.9945606296</v>
      </c>
      <c r="W20" s="88">
        <f t="shared" si="2"/>
        <v>1159111.0462725456</v>
      </c>
      <c r="X20" s="88">
        <f t="shared" si="2"/>
        <v>1124751.4858548208</v>
      </c>
      <c r="Y20" s="88">
        <f t="shared" si="2"/>
        <v>1089024.8914734693</v>
      </c>
      <c r="Z20" s="65"/>
      <c r="AA20" s="65"/>
    </row>
    <row r="21" spans="1:27" s="101" customFormat="1" ht="6.6" x14ac:dyDescent="0.15">
      <c r="A21" s="99"/>
      <c r="B21" s="99"/>
      <c r="C21" s="99"/>
      <c r="D21" s="99"/>
      <c r="E21" s="91"/>
      <c r="F21" s="99"/>
      <c r="G21" s="99"/>
      <c r="H21" s="99"/>
      <c r="I21" s="99"/>
      <c r="J21" s="99"/>
      <c r="K21" s="99"/>
      <c r="L21" s="99"/>
      <c r="M21" s="100"/>
      <c r="N21" s="99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99"/>
      <c r="AA21" s="99"/>
    </row>
    <row r="22" spans="1:27" s="163" customFormat="1" ht="13.8" x14ac:dyDescent="0.3">
      <c r="A22" s="159"/>
      <c r="B22" s="159"/>
      <c r="C22" s="159"/>
      <c r="D22" s="159"/>
      <c r="E22" s="160"/>
      <c r="F22" s="161" t="str">
        <f>KPI!$F$208</f>
        <v>Отток ДС - итого</v>
      </c>
      <c r="G22" s="159"/>
      <c r="H22" s="159"/>
      <c r="I22" s="159"/>
      <c r="J22" s="161" t="str">
        <f>IF($F22="","",INDEX(KPI!$I$11:$I$275,SUMIFS(KPI!$E$11:$E$275,KPI!$F$11:$F$275,$F22)))</f>
        <v>тыс.руб.</v>
      </c>
      <c r="K22" s="159"/>
      <c r="L22" s="159"/>
      <c r="M22" s="162">
        <f t="shared" ref="M22" si="3">SUM(O22:Z22)</f>
        <v>13786044.680736087</v>
      </c>
      <c r="N22" s="159"/>
      <c r="O22" s="159"/>
      <c r="P22" s="162">
        <f>SUMIFS(CF!P:P,CF!$F:$F,$F22)</f>
        <v>120648.58180809114</v>
      </c>
      <c r="Q22" s="162">
        <f>SUMIFS(CF!Q:Q,CF!$F:$F,$F22)</f>
        <v>166004.70813191676</v>
      </c>
      <c r="R22" s="162">
        <f>SUMIFS(CF!R:R,CF!$F:$F,$F22)</f>
        <v>367771.66393813788</v>
      </c>
      <c r="S22" s="162">
        <f>SUMIFS(CF!S:S,CF!$F:$F,$F22)</f>
        <v>673233.30694879906</v>
      </c>
      <c r="T22" s="162">
        <f>SUMIFS(CF!T:T,CF!$F:$F,$F22)</f>
        <v>1362515.422602185</v>
      </c>
      <c r="U22" s="162">
        <f>SUMIFS(CF!U:U,CF!$F:$F,$F22)</f>
        <v>1953865.7053834447</v>
      </c>
      <c r="V22" s="162">
        <f>SUMIFS(CF!V:V,CF!$F:$F,$F22)</f>
        <v>2243982.9764034348</v>
      </c>
      <c r="W22" s="162">
        <f>SUMIFS(CF!W:W,CF!$F:$F,$F22)</f>
        <v>2215509.57316441</v>
      </c>
      <c r="X22" s="162">
        <f>SUMIFS(CF!X:X,CF!$F:$F,$F22)</f>
        <v>2035567.8211366644</v>
      </c>
      <c r="Y22" s="162">
        <f>SUMIFS(CF!Y:Y,CF!$F:$F,$F22)</f>
        <v>2646944.9212190025</v>
      </c>
      <c r="Z22" s="159"/>
      <c r="AA22" s="159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s="66" customFormat="1" ht="13.8" x14ac:dyDescent="0.3">
      <c r="A24" s="65"/>
      <c r="B24" s="65"/>
      <c r="C24" s="65"/>
      <c r="D24" s="65"/>
      <c r="E24" s="72"/>
      <c r="F24" s="85" t="str">
        <f>KPI!$F$253</f>
        <v>NPV оттока ДС (CFOut)</v>
      </c>
      <c r="G24" s="65"/>
      <c r="H24" s="65"/>
      <c r="I24" s="65"/>
      <c r="J24" s="85" t="str">
        <f>IF($F24="","",INDEX(KPI!$I$11:$I$275,SUMIFS(KPI!$E$11:$E$275,KPI!$F$11:$F$275,$F24)))</f>
        <v>тыс.руб.</v>
      </c>
      <c r="K24" s="65"/>
      <c r="L24" s="65"/>
      <c r="M24" s="88">
        <f>SUM(O24:Z24)</f>
        <v>7366522.9630161338</v>
      </c>
      <c r="N24" s="65"/>
      <c r="O24" s="65"/>
      <c r="P24" s="88">
        <f>IF(P14=0,0,P22/P14)</f>
        <v>109680.52891644648</v>
      </c>
      <c r="Q24" s="88">
        <f t="shared" ref="Q24:Y24" si="4">IF(Q14=0,0,Q22/Q14)</f>
        <v>137193.9736627411</v>
      </c>
      <c r="R24" s="88">
        <f t="shared" si="4"/>
        <v>276312.29446892394</v>
      </c>
      <c r="S24" s="88">
        <f t="shared" si="4"/>
        <v>464046.00731242896</v>
      </c>
      <c r="T24" s="88">
        <f t="shared" si="4"/>
        <v>861609.29505739361</v>
      </c>
      <c r="U24" s="88">
        <f t="shared" si="4"/>
        <v>1133540.811386141</v>
      </c>
      <c r="V24" s="88">
        <f t="shared" si="4"/>
        <v>1205419.6120412028</v>
      </c>
      <c r="W24" s="88">
        <f t="shared" si="4"/>
        <v>1101966.9531728725</v>
      </c>
      <c r="X24" s="88">
        <f t="shared" si="4"/>
        <v>937468.66660385323</v>
      </c>
      <c r="Y24" s="88">
        <f t="shared" si="4"/>
        <v>1139284.8203941309</v>
      </c>
      <c r="Z24" s="65"/>
      <c r="AA24" s="65"/>
    </row>
    <row r="25" spans="1:27" s="101" customFormat="1" ht="6.6" x14ac:dyDescent="0.15">
      <c r="A25" s="99"/>
      <c r="B25" s="99"/>
      <c r="C25" s="99"/>
      <c r="D25" s="99"/>
      <c r="E25" s="91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99"/>
      <c r="AA25" s="99"/>
    </row>
    <row r="26" spans="1:27" s="77" customFormat="1" ht="15" thickBot="1" x14ac:dyDescent="0.35">
      <c r="A26" s="75"/>
      <c r="B26" s="75"/>
      <c r="C26" s="75"/>
      <c r="D26" s="75"/>
      <c r="E26" s="76"/>
      <c r="F26" s="144" t="str">
        <f>KPI!$F$254</f>
        <v>NPV потока ДС (CF)</v>
      </c>
      <c r="G26" s="75"/>
      <c r="H26" s="75"/>
      <c r="I26" s="75"/>
      <c r="J26" s="145" t="str">
        <f>IF($F26="","",INDEX(KPI!$I$11:$I$275,SUMIFS(KPI!$E$11:$E$275,KPI!$F$11:$F$275,$F26)))</f>
        <v>тыс.руб.</v>
      </c>
      <c r="K26" s="75"/>
      <c r="L26" s="75"/>
      <c r="M26" s="146">
        <f>M20-M24</f>
        <v>199505.36594940629</v>
      </c>
      <c r="N26" s="75"/>
      <c r="O26" s="75"/>
      <c r="P26" s="79">
        <f t="shared" ref="P26:Y26" si="5">P20-P24</f>
        <v>0</v>
      </c>
      <c r="Q26" s="79">
        <f t="shared" si="5"/>
        <v>0</v>
      </c>
      <c r="R26" s="79">
        <f t="shared" si="5"/>
        <v>0</v>
      </c>
      <c r="S26" s="79">
        <f t="shared" si="5"/>
        <v>0</v>
      </c>
      <c r="T26" s="79">
        <f t="shared" si="5"/>
        <v>0</v>
      </c>
      <c r="U26" s="79">
        <f t="shared" si="5"/>
        <v>0</v>
      </c>
      <c r="V26" s="79">
        <f t="shared" si="5"/>
        <v>5338.3825194267556</v>
      </c>
      <c r="W26" s="79">
        <f t="shared" si="5"/>
        <v>57144.093099673046</v>
      </c>
      <c r="X26" s="79">
        <f t="shared" si="5"/>
        <v>187282.81925096759</v>
      </c>
      <c r="Y26" s="79">
        <f t="shared" si="5"/>
        <v>-50259.928920661565</v>
      </c>
      <c r="Z26" s="75"/>
      <c r="AA26" s="75"/>
    </row>
    <row r="27" spans="1:27" s="93" customFormat="1" ht="7.2" thickTop="1" x14ac:dyDescent="0.15">
      <c r="A27" s="90"/>
      <c r="B27" s="90"/>
      <c r="C27" s="90"/>
      <c r="D27" s="90"/>
      <c r="E27" s="91"/>
      <c r="F27" s="94"/>
      <c r="G27" s="90"/>
      <c r="H27" s="90"/>
      <c r="I27" s="90"/>
      <c r="J27" s="94"/>
      <c r="K27" s="90"/>
      <c r="L27" s="90"/>
      <c r="M27" s="95"/>
      <c r="N27" s="90"/>
      <c r="O27" s="90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0"/>
      <c r="AA27" s="90"/>
    </row>
    <row r="28" spans="1:27" s="101" customFormat="1" ht="6.6" x14ac:dyDescent="0.15">
      <c r="A28" s="99"/>
      <c r="B28" s="99"/>
      <c r="C28" s="99"/>
      <c r="D28" s="99"/>
      <c r="E28" s="91"/>
      <c r="F28" s="109"/>
      <c r="G28" s="109"/>
      <c r="H28" s="109"/>
      <c r="I28" s="109"/>
      <c r="J28" s="109"/>
      <c r="K28" s="109"/>
      <c r="L28" s="109"/>
      <c r="M28" s="110"/>
      <c r="N28" s="109"/>
      <c r="O28" s="109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99"/>
      <c r="AA28" s="99"/>
    </row>
    <row r="29" spans="1:27" s="77" customFormat="1" ht="14.4" x14ac:dyDescent="0.3">
      <c r="A29" s="75"/>
      <c r="B29" s="75"/>
      <c r="C29" s="75"/>
      <c r="D29" s="75"/>
      <c r="E29" s="76"/>
      <c r="F29" s="144" t="str">
        <f>KPI!$F$255</f>
        <v>NPV = NPV(CF) - NPV(Inv)</v>
      </c>
      <c r="G29" s="75"/>
      <c r="H29" s="75"/>
      <c r="I29" s="75"/>
      <c r="J29" s="145" t="str">
        <f>IF($F29="","",INDEX(KPI!$I$11:$I$275,SUMIFS(KPI!$E$11:$E$275,KPI!$F$11:$F$275,$F29)))</f>
        <v>тыс.руб.</v>
      </c>
      <c r="K29" s="75"/>
      <c r="L29" s="75"/>
      <c r="M29" s="146">
        <f>M26-M16</f>
        <v>58294.469241412007</v>
      </c>
      <c r="N29" s="75"/>
      <c r="O29" s="75"/>
      <c r="P29" s="183" t="str">
        <f>IF(M29&lt;0,структура!P13,"")</f>
        <v/>
      </c>
      <c r="Q29" s="164"/>
      <c r="R29" s="164"/>
      <c r="S29" s="164"/>
      <c r="T29" s="164"/>
      <c r="U29" s="164"/>
      <c r="V29" s="164"/>
      <c r="W29" s="164"/>
      <c r="X29" s="164"/>
      <c r="Y29" s="164"/>
      <c r="Z29" s="75"/>
      <c r="AA29" s="75"/>
    </row>
    <row r="30" spans="1:27" s="93" customFormat="1" ht="6.6" x14ac:dyDescent="0.15">
      <c r="A30" s="90"/>
      <c r="B30" s="90"/>
      <c r="C30" s="90"/>
      <c r="D30" s="90"/>
      <c r="E30" s="91"/>
      <c r="F30" s="96"/>
      <c r="G30" s="90"/>
      <c r="H30" s="90"/>
      <c r="I30" s="90"/>
      <c r="J30" s="96"/>
      <c r="K30" s="90"/>
      <c r="L30" s="90"/>
      <c r="M30" s="97"/>
      <c r="N30" s="90"/>
      <c r="O30" s="90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90"/>
      <c r="AA30" s="90"/>
    </row>
    <row r="31" spans="1:27" s="77" customFormat="1" ht="14.4" x14ac:dyDescent="0.3">
      <c r="A31" s="75"/>
      <c r="B31" s="75"/>
      <c r="C31" s="75"/>
      <c r="D31" s="75"/>
      <c r="E31" s="76"/>
      <c r="F31" s="144" t="str">
        <f>KPI!$F$261</f>
        <v>PI инвестиционного периода</v>
      </c>
      <c r="G31" s="75"/>
      <c r="H31" s="75"/>
      <c r="I31" s="75"/>
      <c r="J31" s="145" t="str">
        <f>IF($F31="","",INDEX(KPI!$I$11:$I$275,SUMIFS(KPI!$E$11:$E$275,KPI!$F$11:$F$275,$F31)))</f>
        <v>%</v>
      </c>
      <c r="K31" s="75"/>
      <c r="L31" s="75"/>
      <c r="M31" s="182">
        <f>IF(M16=0,"",M26/M16)</f>
        <v>1.4128184906435186</v>
      </c>
      <c r="N31" s="75"/>
      <c r="O31" s="75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75"/>
      <c r="AA31" s="75"/>
    </row>
    <row r="32" spans="1:27" s="93" customFormat="1" ht="6.6" x14ac:dyDescent="0.15">
      <c r="A32" s="90"/>
      <c r="B32" s="90"/>
      <c r="C32" s="90"/>
      <c r="D32" s="90"/>
      <c r="E32" s="91"/>
      <c r="F32" s="96"/>
      <c r="G32" s="90"/>
      <c r="H32" s="90"/>
      <c r="I32" s="90"/>
      <c r="J32" s="96"/>
      <c r="K32" s="90"/>
      <c r="L32" s="90"/>
      <c r="M32" s="97"/>
      <c r="N32" s="90"/>
      <c r="O32" s="90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90"/>
      <c r="AA32" s="90"/>
    </row>
    <row r="33" spans="1:27" s="77" customFormat="1" ht="14.4" x14ac:dyDescent="0.3">
      <c r="A33" s="75"/>
      <c r="B33" s="75"/>
      <c r="C33" s="75"/>
      <c r="D33" s="75"/>
      <c r="E33" s="76"/>
      <c r="F33" s="144" t="str">
        <f>KPI!$F$265</f>
        <v>ROI инвестиционного периода</v>
      </c>
      <c r="G33" s="75"/>
      <c r="H33" s="75"/>
      <c r="I33" s="75"/>
      <c r="J33" s="145" t="str">
        <f>IF($F33="","",INDEX(KPI!$I$11:$I$275,SUMIFS(KPI!$E$11:$E$275,KPI!$F$11:$F$275,$F33)))</f>
        <v>%</v>
      </c>
      <c r="K33" s="75"/>
      <c r="L33" s="75"/>
      <c r="M33" s="176">
        <f>IF(M16=0,"",M29/M16)</f>
        <v>0.41281849064351861</v>
      </c>
      <c r="N33" s="75"/>
      <c r="O33" s="75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75"/>
      <c r="AA33" s="75"/>
    </row>
    <row r="34" spans="1:27" s="93" customFormat="1" ht="6.6" x14ac:dyDescent="0.15">
      <c r="A34" s="90"/>
      <c r="B34" s="90"/>
      <c r="C34" s="90"/>
      <c r="D34" s="90"/>
      <c r="E34" s="91"/>
      <c r="F34" s="96"/>
      <c r="G34" s="90"/>
      <c r="H34" s="90"/>
      <c r="I34" s="90"/>
      <c r="J34" s="96"/>
      <c r="K34" s="90"/>
      <c r="L34" s="90"/>
      <c r="M34" s="97"/>
      <c r="N34" s="90"/>
      <c r="O34" s="90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90"/>
      <c r="AA34" s="90"/>
    </row>
    <row r="35" spans="1:27" s="77" customFormat="1" ht="15" thickBot="1" x14ac:dyDescent="0.35">
      <c r="A35" s="75"/>
      <c r="B35" s="75"/>
      <c r="C35" s="75"/>
      <c r="D35" s="75"/>
      <c r="E35" s="76"/>
      <c r="F35" s="78" t="str">
        <f>KPI!$F$256</f>
        <v>Возврат инвестиций</v>
      </c>
      <c r="G35" s="75"/>
      <c r="H35" s="75"/>
      <c r="I35" s="75"/>
      <c r="J35" s="78" t="str">
        <f>IF($F35="","",INDEX(KPI!$I$11:$I$275,SUMIFS(KPI!$E$11:$E$275,KPI!$F$11:$F$275,$F35)))</f>
        <v>тыс.руб.</v>
      </c>
      <c r="K35" s="75"/>
      <c r="L35" s="75"/>
      <c r="M35" s="79">
        <f>SUM(O35:Z35)</f>
        <v>141210.89670799428</v>
      </c>
      <c r="N35" s="75"/>
      <c r="O35" s="75"/>
      <c r="P35" s="79">
        <f>IF($M$29&lt;0,0,IF(SUM($O$35:O35)=$M$16,0,IF(SUM($O$26:P26)&lt;=$M$16,P26,$M$16-SUM($O$35:O35))))</f>
        <v>0</v>
      </c>
      <c r="Q35" s="79">
        <f>IF($M$29&lt;0,0,IF(SUM($O$35:P35)=$M$16,0,IF(SUM($O$26:Q26)&lt;=$M$16,Q26,$M$16-SUM($O$35:P35))))</f>
        <v>0</v>
      </c>
      <c r="R35" s="79">
        <f>IF($M$29&lt;0,0,IF(SUM($O$35:Q35)=$M$16,0,IF(SUM($O$26:R26)&lt;=$M$16,R26,$M$16-SUM($O$35:Q35))))</f>
        <v>0</v>
      </c>
      <c r="S35" s="79">
        <f>IF($M$29&lt;0,0,IF(SUM($O$35:R35)=$M$16,0,IF(SUM($O$26:S26)&lt;=$M$16,S26,$M$16-SUM($O$35:R35))))</f>
        <v>0</v>
      </c>
      <c r="T35" s="79">
        <f>IF($M$29&lt;0,0,IF(SUM($O$35:S35)=$M$16,0,IF(SUM($O$26:T26)&lt;=$M$16,T26,$M$16-SUM($O$35:S35))))</f>
        <v>0</v>
      </c>
      <c r="U35" s="79">
        <f>IF($M$29&lt;0,0,IF(SUM($O$35:T35)=$M$16,0,IF(SUM($O$26:U26)&lt;=$M$16,U26,$M$16-SUM($O$35:T35))))</f>
        <v>0</v>
      </c>
      <c r="V35" s="79">
        <f>IF($M$29&lt;0,0,IF(SUM($O$35:U35)=$M$16,0,IF(SUM($O$26:V26)&lt;=$M$16,V26,$M$16-SUM($O$35:U35))))</f>
        <v>5338.3825194267556</v>
      </c>
      <c r="W35" s="79">
        <f>IF($M$29&lt;0,0,IF(SUM($O$35:V35)=$M$16,0,IF(SUM($O$26:W26)&lt;=$M$16,W26,$M$16-SUM($O$35:V35))))</f>
        <v>57144.093099673046</v>
      </c>
      <c r="X35" s="79">
        <f>IF($M$29&lt;0,0,IF(SUM($O$35:W35)=$M$16,0,IF(SUM($O$26:X26)&lt;=$M$16,X26,$M$16-SUM($O$35:W35))))</f>
        <v>78728.42108889448</v>
      </c>
      <c r="Y35" s="79">
        <f>IF($M$29&lt;0,0,IF(SUM($O$35:X35)=$M$16,0,IF(SUM($O$26:Y26)&lt;=$M$16,Y26,$M$16-SUM($O$35:X35))))</f>
        <v>0</v>
      </c>
      <c r="Z35" s="75"/>
      <c r="AA35" s="75"/>
    </row>
    <row r="36" spans="1:27" s="93" customFormat="1" ht="7.2" thickTop="1" x14ac:dyDescent="0.15">
      <c r="A36" s="90"/>
      <c r="B36" s="90"/>
      <c r="C36" s="90"/>
      <c r="D36" s="90"/>
      <c r="E36" s="91"/>
      <c r="F36" s="94"/>
      <c r="G36" s="90"/>
      <c r="H36" s="90"/>
      <c r="I36" s="90"/>
      <c r="J36" s="94"/>
      <c r="K36" s="90"/>
      <c r="L36" s="90"/>
      <c r="M36" s="95"/>
      <c r="N36" s="90"/>
      <c r="O36" s="90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0"/>
      <c r="AA36" s="90"/>
    </row>
    <row r="37" spans="1:27" s="172" customFormat="1" x14ac:dyDescent="0.25">
      <c r="A37" s="170"/>
      <c r="B37" s="170"/>
      <c r="C37" s="170"/>
      <c r="D37" s="170"/>
      <c r="E37" s="170"/>
      <c r="F37" s="170" t="str">
        <f>структура!P12</f>
        <v>контроль</v>
      </c>
      <c r="G37" s="170"/>
      <c r="H37" s="170"/>
      <c r="I37" s="170"/>
      <c r="J37" s="170"/>
      <c r="K37" s="170"/>
      <c r="L37" s="170"/>
      <c r="M37" s="171">
        <f>IF(M29&lt;0,0,M35-M16)</f>
        <v>0</v>
      </c>
      <c r="N37" s="170"/>
      <c r="O37" s="170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0"/>
      <c r="AA37" s="170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77" customFormat="1" ht="15" thickBot="1" x14ac:dyDescent="0.35">
      <c r="A39" s="75"/>
      <c r="B39" s="75"/>
      <c r="C39" s="75"/>
      <c r="D39" s="75"/>
      <c r="E39" s="76"/>
      <c r="F39" s="78" t="str">
        <f>KPI!$F$257</f>
        <v>PP - период окупаемости</v>
      </c>
      <c r="G39" s="75"/>
      <c r="H39" s="75"/>
      <c r="I39" s="75"/>
      <c r="J39" s="78" t="str">
        <f>IF($F39="","",INDEX(KPI!$I$11:$I$275,SUMIFS(KPI!$E$11:$E$275,KPI!$F$11:$F$275,$F39)))</f>
        <v>лет</v>
      </c>
      <c r="K39" s="75"/>
      <c r="L39" s="75"/>
      <c r="M39" s="173">
        <f>IF(OR($M$29&lt;0,$M$35=0),"&gt;"&amp;MAX($1:$1),SUMPRODUCT(P1:Y1,P35:Y35)/$M$35)</f>
        <v>8.5197193720908704</v>
      </c>
      <c r="N39" s="75"/>
      <c r="O39" s="75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75"/>
      <c r="AA39" s="75"/>
    </row>
    <row r="40" spans="1:27" s="93" customFormat="1" ht="7.2" thickTop="1" x14ac:dyDescent="0.15">
      <c r="A40" s="90"/>
      <c r="B40" s="90"/>
      <c r="C40" s="90"/>
      <c r="D40" s="90"/>
      <c r="E40" s="91"/>
      <c r="F40" s="94"/>
      <c r="G40" s="90"/>
      <c r="H40" s="90"/>
      <c r="I40" s="90"/>
      <c r="J40" s="94"/>
      <c r="K40" s="90"/>
      <c r="L40" s="90"/>
      <c r="M40" s="95"/>
      <c r="N40" s="90"/>
      <c r="O40" s="90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90"/>
      <c r="AA40" s="90"/>
    </row>
    <row r="41" spans="1:27" s="66" customFormat="1" ht="13.8" x14ac:dyDescent="0.3">
      <c r="A41" s="65"/>
      <c r="B41" s="65"/>
      <c r="C41" s="65"/>
      <c r="D41" s="65"/>
      <c r="E41" s="72"/>
      <c r="F41" s="85" t="str">
        <f>KPI!$F$258</f>
        <v>CF по операц. деят-ти после PP</v>
      </c>
      <c r="G41" s="65"/>
      <c r="H41" s="65"/>
      <c r="I41" s="65"/>
      <c r="J41" s="85" t="str">
        <f>IF($F41="","",INDEX(KPI!$I$11:$I$275,SUMIFS(KPI!$E$11:$E$275,KPI!$F$11:$F$275,$F41)))</f>
        <v>тыс.руб.</v>
      </c>
      <c r="K41" s="65"/>
      <c r="L41" s="65"/>
      <c r="M41" s="88"/>
      <c r="N41" s="65"/>
      <c r="O41" s="65"/>
      <c r="P41" s="88">
        <f>IF(OR($M$29&lt;0,$M$35=0),"",IF(P$1&lt;INT($M$39),0,CF!P$23))</f>
        <v>0</v>
      </c>
      <c r="Q41" s="88">
        <f>IF(OR($M$29&lt;0,$M$35=0),"",IF(Q$1&lt;INT($M$39),0,CF!Q$23))</f>
        <v>0</v>
      </c>
      <c r="R41" s="88">
        <f>IF(OR($M$29&lt;0,$M$35=0),"",IF(R$1&lt;INT($M$39),0,CF!R$23))</f>
        <v>0</v>
      </c>
      <c r="S41" s="88">
        <f>IF(OR($M$29&lt;0,$M$35=0),"",IF(S$1&lt;INT($M$39),0,CF!S$23))</f>
        <v>0</v>
      </c>
      <c r="T41" s="88">
        <f>IF(OR($M$29&lt;0,$M$35=0),"",IF(T$1&lt;INT($M$39),0,CF!T$23))</f>
        <v>0</v>
      </c>
      <c r="U41" s="88">
        <f>IF(OR($M$29&lt;0,$M$35=0),"",IF(U$1&lt;INT($M$39),0,CF!U$23))</f>
        <v>0</v>
      </c>
      <c r="V41" s="88">
        <f>IF(OR($M$29&lt;0,$M$35=0),"",IF(V$1&lt;INT($M$39),0,CF!V$23))</f>
        <v>0</v>
      </c>
      <c r="W41" s="88">
        <f>IF(OR($M$29&lt;0,$M$35=0),"",IF(W$1&lt;INT($M$39),0,CF!W$23))</f>
        <v>116287.69960342348</v>
      </c>
      <c r="X41" s="88">
        <f>IF(OR($M$29&lt;0,$M$35=0),"",IF(X$1&lt;INT($M$39),0,CF!X$23))</f>
        <v>406655.59703460359</v>
      </c>
      <c r="Y41" s="88">
        <f>IF(OR($M$29&lt;0,$M$35=0),"",IF(Y$1&lt;INT($M$39),0,CF!Y$23))</f>
        <v>-116770.85590533027</v>
      </c>
      <c r="Z41" s="65"/>
      <c r="AA41" s="65"/>
    </row>
    <row r="42" spans="1:27" s="101" customFormat="1" ht="6.6" x14ac:dyDescent="0.15">
      <c r="A42" s="99"/>
      <c r="B42" s="99"/>
      <c r="C42" s="99"/>
      <c r="D42" s="99"/>
      <c r="E42" s="91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99"/>
      <c r="AA42" s="99"/>
    </row>
    <row r="43" spans="1:27" s="66" customFormat="1" ht="13.8" x14ac:dyDescent="0.3">
      <c r="A43" s="65"/>
      <c r="B43" s="65"/>
      <c r="C43" s="65"/>
      <c r="D43" s="65"/>
      <c r="E43" s="72"/>
      <c r="F43" s="85" t="str">
        <f>KPI!$F$259</f>
        <v>NPV среднего CF по операц. деят-ти после PP</v>
      </c>
      <c r="G43" s="65"/>
      <c r="H43" s="65"/>
      <c r="I43" s="65"/>
      <c r="J43" s="85" t="str">
        <f>IF($F43="","",INDEX(KPI!$I$11:$I$275,SUMIFS(KPI!$E$11:$E$275,KPI!$F$11:$F$275,$F43)))</f>
        <v>тыс.руб.</v>
      </c>
      <c r="K43" s="65"/>
      <c r="L43" s="65"/>
      <c r="M43" s="88">
        <f>IF(OR($M$29&lt;0,$M$35=0),"",SUM(O43:Z43)/(1+MAX($1:$1)-INT($M$39)))</f>
        <v>64954.316081828911</v>
      </c>
      <c r="N43" s="65"/>
      <c r="O43" s="65"/>
      <c r="P43" s="88">
        <f>IF(OR($M$29&lt;0,$M$35=0),"",IF(P14=0,0,P41/P14))</f>
        <v>0</v>
      </c>
      <c r="Q43" s="88">
        <f t="shared" ref="Q43:Y43" si="6">IF(OR($M$29&lt;0,$M$35=0),"",IF(Q14=0,0,Q41/Q14))</f>
        <v>0</v>
      </c>
      <c r="R43" s="88">
        <f t="shared" si="6"/>
        <v>0</v>
      </c>
      <c r="S43" s="88">
        <f t="shared" si="6"/>
        <v>0</v>
      </c>
      <c r="T43" s="88">
        <f t="shared" si="6"/>
        <v>0</v>
      </c>
      <c r="U43" s="88">
        <f t="shared" si="6"/>
        <v>0</v>
      </c>
      <c r="V43" s="88">
        <f t="shared" si="6"/>
        <v>0</v>
      </c>
      <c r="W43" s="88">
        <f t="shared" si="6"/>
        <v>57840.057915180732</v>
      </c>
      <c r="X43" s="88">
        <f t="shared" si="6"/>
        <v>187282.81925096753</v>
      </c>
      <c r="Y43" s="88">
        <f t="shared" si="6"/>
        <v>-50259.928920661543</v>
      </c>
      <c r="Z43" s="65"/>
      <c r="AA43" s="65"/>
    </row>
    <row r="44" spans="1:27" s="101" customFormat="1" ht="6.6" x14ac:dyDescent="0.15">
      <c r="A44" s="99"/>
      <c r="B44" s="99"/>
      <c r="C44" s="99"/>
      <c r="D44" s="99"/>
      <c r="E44" s="91"/>
      <c r="F44" s="99"/>
      <c r="G44" s="99"/>
      <c r="H44" s="99"/>
      <c r="I44" s="99"/>
      <c r="J44" s="99"/>
      <c r="K44" s="99"/>
      <c r="L44" s="99"/>
      <c r="M44" s="100"/>
      <c r="N44" s="99"/>
      <c r="O44" s="9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99"/>
      <c r="AA44" s="99"/>
    </row>
    <row r="45" spans="1:27" s="77" customFormat="1" ht="15" thickBot="1" x14ac:dyDescent="0.35">
      <c r="A45" s="75"/>
      <c r="B45" s="75"/>
      <c r="C45" s="75"/>
      <c r="D45" s="75"/>
      <c r="E45" s="76"/>
      <c r="F45" s="78" t="str">
        <f>KPI!$F$260</f>
        <v>NPV CF после инвестиционного периода</v>
      </c>
      <c r="G45" s="75"/>
      <c r="H45" s="75"/>
      <c r="I45" s="75"/>
      <c r="J45" s="78" t="str">
        <f>IF($F45="","",INDEX(KPI!$I$11:$I$275,SUMIFS(KPI!$E$11:$E$275,KPI!$F$11:$F$275,$F45)))</f>
        <v>тыс.руб.</v>
      </c>
      <c r="K45" s="75"/>
      <c r="L45" s="75"/>
      <c r="M45" s="79">
        <f>IF(OR($M$29&lt;0,$M$35=0),0,M43/условия!$AC$188)</f>
        <v>927918.80116898438</v>
      </c>
      <c r="N45" s="75"/>
      <c r="O45" s="75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75"/>
      <c r="AA45" s="75"/>
    </row>
    <row r="46" spans="1:27" s="93" customFormat="1" ht="7.2" thickTop="1" x14ac:dyDescent="0.15">
      <c r="A46" s="90"/>
      <c r="B46" s="90"/>
      <c r="C46" s="90"/>
      <c r="D46" s="90"/>
      <c r="E46" s="91"/>
      <c r="F46" s="94"/>
      <c r="G46" s="90"/>
      <c r="H46" s="90"/>
      <c r="I46" s="90"/>
      <c r="J46" s="94"/>
      <c r="K46" s="90"/>
      <c r="L46" s="90"/>
      <c r="M46" s="95"/>
      <c r="N46" s="90"/>
      <c r="O46" s="90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90"/>
      <c r="AA46" s="90"/>
    </row>
    <row r="47" spans="1:27" s="77" customFormat="1" ht="14.4" x14ac:dyDescent="0.3">
      <c r="A47" s="75"/>
      <c r="B47" s="75"/>
      <c r="C47" s="75"/>
      <c r="D47" s="75"/>
      <c r="E47" s="76"/>
      <c r="F47" s="144" t="str">
        <f>KPI!$F$262</f>
        <v>NPV полный</v>
      </c>
      <c r="G47" s="75"/>
      <c r="H47" s="75"/>
      <c r="I47" s="75"/>
      <c r="J47" s="145" t="str">
        <f>IF($F47="","",INDEX(KPI!$I$11:$I$275,SUMIFS(KPI!$E$11:$E$275,KPI!$F$11:$F$275,$F47)))</f>
        <v>тыс.руб.</v>
      </c>
      <c r="K47" s="75"/>
      <c r="L47" s="75"/>
      <c r="M47" s="146">
        <f>M26+M45</f>
        <v>1127424.1671183906</v>
      </c>
      <c r="N47" s="75"/>
      <c r="O47" s="75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75"/>
      <c r="AA47" s="75"/>
    </row>
    <row r="48" spans="1:27" s="93" customFormat="1" ht="6.6" x14ac:dyDescent="0.15">
      <c r="A48" s="90"/>
      <c r="B48" s="90"/>
      <c r="C48" s="90"/>
      <c r="D48" s="90"/>
      <c r="E48" s="91"/>
      <c r="F48" s="96"/>
      <c r="G48" s="90"/>
      <c r="H48" s="90"/>
      <c r="I48" s="90"/>
      <c r="J48" s="96"/>
      <c r="K48" s="90"/>
      <c r="L48" s="90"/>
      <c r="M48" s="97"/>
      <c r="N48" s="90"/>
      <c r="O48" s="90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90"/>
      <c r="AA48" s="90"/>
    </row>
    <row r="49" spans="1:27" s="77" customFormat="1" ht="14.4" x14ac:dyDescent="0.3">
      <c r="A49" s="75"/>
      <c r="B49" s="75"/>
      <c r="C49" s="75"/>
      <c r="D49" s="75"/>
      <c r="E49" s="76"/>
      <c r="F49" s="144" t="str">
        <f>KPI!$F$263</f>
        <v>PI полный</v>
      </c>
      <c r="G49" s="75"/>
      <c r="H49" s="75"/>
      <c r="I49" s="75"/>
      <c r="J49" s="145" t="str">
        <f>IF($F49="","",INDEX(KPI!$I$11:$I$275,SUMIFS(KPI!$E$11:$E$275,KPI!$F$11:$F$275,$F49)))</f>
        <v>%</v>
      </c>
      <c r="K49" s="75"/>
      <c r="L49" s="75"/>
      <c r="M49" s="182">
        <f>IF(M16=0,"",M47/M16)</f>
        <v>7.9839742782014671</v>
      </c>
      <c r="N49" s="75"/>
      <c r="O49" s="75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75"/>
      <c r="AA49" s="75"/>
    </row>
    <row r="50" spans="1:27" s="93" customFormat="1" ht="6.6" x14ac:dyDescent="0.15">
      <c r="A50" s="90"/>
      <c r="B50" s="90"/>
      <c r="C50" s="90"/>
      <c r="D50" s="90"/>
      <c r="E50" s="91"/>
      <c r="F50" s="96"/>
      <c r="G50" s="90"/>
      <c r="H50" s="90"/>
      <c r="I50" s="90"/>
      <c r="J50" s="96"/>
      <c r="K50" s="90"/>
      <c r="L50" s="90"/>
      <c r="M50" s="97"/>
      <c r="N50" s="90"/>
      <c r="O50" s="90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90"/>
      <c r="AA50" s="90"/>
    </row>
    <row r="51" spans="1:27" s="77" customFormat="1" ht="14.4" x14ac:dyDescent="0.3">
      <c r="A51" s="75"/>
      <c r="B51" s="75"/>
      <c r="C51" s="75"/>
      <c r="D51" s="75"/>
      <c r="E51" s="76"/>
      <c r="F51" s="144" t="str">
        <f>KPI!$F$267</f>
        <v>NPV(CF, полный) - NPV(Inv)</v>
      </c>
      <c r="G51" s="75"/>
      <c r="H51" s="75"/>
      <c r="I51" s="75"/>
      <c r="J51" s="145" t="str">
        <f>IF($F51="","",INDEX(KPI!$I$11:$I$275,SUMIFS(KPI!$E$11:$E$275,KPI!$F$11:$F$275,$F51)))</f>
        <v>тыс.руб.</v>
      </c>
      <c r="K51" s="75"/>
      <c r="L51" s="75"/>
      <c r="M51" s="146">
        <f>M47-M16</f>
        <v>986213.27041039628</v>
      </c>
      <c r="N51" s="75"/>
      <c r="O51" s="75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75"/>
      <c r="AA51" s="75"/>
    </row>
    <row r="52" spans="1:27" s="93" customFormat="1" ht="6.6" x14ac:dyDescent="0.15">
      <c r="A52" s="90"/>
      <c r="B52" s="90"/>
      <c r="C52" s="90"/>
      <c r="D52" s="90"/>
      <c r="E52" s="91"/>
      <c r="F52" s="96"/>
      <c r="G52" s="90"/>
      <c r="H52" s="90"/>
      <c r="I52" s="90"/>
      <c r="J52" s="96"/>
      <c r="K52" s="90"/>
      <c r="L52" s="90"/>
      <c r="M52" s="97"/>
      <c r="N52" s="90"/>
      <c r="O52" s="90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90"/>
      <c r="AA52" s="90"/>
    </row>
    <row r="53" spans="1:27" s="77" customFormat="1" ht="14.4" x14ac:dyDescent="0.3">
      <c r="A53" s="75"/>
      <c r="B53" s="75"/>
      <c r="C53" s="75"/>
      <c r="D53" s="75"/>
      <c r="E53" s="76"/>
      <c r="F53" s="144" t="str">
        <f>KPI!$F$266</f>
        <v>ROI полный</v>
      </c>
      <c r="G53" s="75"/>
      <c r="H53" s="75"/>
      <c r="I53" s="75"/>
      <c r="J53" s="145" t="str">
        <f>IF($F53="","",INDEX(KPI!$I$11:$I$275,SUMIFS(KPI!$E$11:$E$275,KPI!$F$11:$F$275,$F53)))</f>
        <v>%</v>
      </c>
      <c r="K53" s="75"/>
      <c r="L53" s="75"/>
      <c r="M53" s="176">
        <f>IF(M16=0,"",M51/M16)</f>
        <v>6.9839742782014671</v>
      </c>
      <c r="N53" s="75"/>
      <c r="O53" s="75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75"/>
      <c r="AA53" s="75"/>
    </row>
    <row r="54" spans="1:27" s="93" customFormat="1" ht="6.6" x14ac:dyDescent="0.15">
      <c r="A54" s="90"/>
      <c r="B54" s="90"/>
      <c r="C54" s="90"/>
      <c r="D54" s="90"/>
      <c r="E54" s="91"/>
      <c r="F54" s="96"/>
      <c r="G54" s="90"/>
      <c r="H54" s="90"/>
      <c r="I54" s="90"/>
      <c r="J54" s="96"/>
      <c r="K54" s="90"/>
      <c r="L54" s="90"/>
      <c r="M54" s="97"/>
      <c r="N54" s="90"/>
      <c r="O54" s="90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90"/>
      <c r="AA54" s="90"/>
    </row>
    <row r="55" spans="1:27" x14ac:dyDescent="0.25">
      <c r="A55" s="3"/>
      <c r="B55" s="3"/>
      <c r="C55" s="3"/>
      <c r="D55" s="3"/>
      <c r="E55" s="55"/>
      <c r="F55" s="3"/>
      <c r="G55" s="3"/>
      <c r="H55" s="3"/>
      <c r="I55" s="3"/>
      <c r="J55" s="3"/>
      <c r="K55" s="3"/>
      <c r="L55" s="3"/>
      <c r="M55" s="33"/>
      <c r="N55" s="3"/>
      <c r="O55" s="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"/>
      <c r="AA55" s="3"/>
    </row>
    <row r="56" spans="1:27" s="77" customFormat="1" ht="14.4" x14ac:dyDescent="0.3">
      <c r="A56" s="75"/>
      <c r="B56" s="75"/>
      <c r="C56" s="75"/>
      <c r="D56" s="75"/>
      <c r="E56" s="76"/>
      <c r="F56" s="144" t="str">
        <f>KPI!$F$270</f>
        <v>IRR - внутренняя норма доходности</v>
      </c>
      <c r="G56" s="75"/>
      <c r="H56" s="75"/>
      <c r="I56" s="75"/>
      <c r="J56" s="145" t="str">
        <f>IF($F56="","",INDEX(KPI!$I$11:$I$275,SUMIFS(KPI!$E$11:$E$275,KPI!$F$11:$F$275,$F56)))</f>
        <v>%</v>
      </c>
      <c r="K56" s="75"/>
      <c r="L56" s="75"/>
      <c r="M56" s="175">
        <f>IF(M63=структура!$P$14,"нет",$M$159)</f>
        <v>0.17103330789699039</v>
      </c>
      <c r="N56" s="75"/>
      <c r="O56" s="75"/>
      <c r="P56" s="183" t="str">
        <f>IF(M56="нет",структура!$P$14,"")</f>
        <v/>
      </c>
      <c r="Q56" s="164"/>
      <c r="R56" s="164"/>
      <c r="S56" s="164"/>
      <c r="T56" s="164"/>
      <c r="U56" s="164"/>
      <c r="V56" s="164"/>
      <c r="W56" s="164"/>
      <c r="X56" s="164"/>
      <c r="Y56" s="164"/>
      <c r="Z56" s="75"/>
      <c r="AA56" s="75"/>
    </row>
    <row r="57" spans="1:27" s="93" customFormat="1" ht="6.6" x14ac:dyDescent="0.15">
      <c r="A57" s="90"/>
      <c r="B57" s="90"/>
      <c r="C57" s="90"/>
      <c r="D57" s="90"/>
      <c r="E57" s="91"/>
      <c r="F57" s="96"/>
      <c r="G57" s="90"/>
      <c r="H57" s="90"/>
      <c r="I57" s="90"/>
      <c r="J57" s="96"/>
      <c r="K57" s="90"/>
      <c r="L57" s="90"/>
      <c r="M57" s="97"/>
      <c r="N57" s="90"/>
      <c r="O57" s="90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90"/>
      <c r="AA57" s="90"/>
    </row>
    <row r="58" spans="1:27" s="77" customFormat="1" ht="14.4" x14ac:dyDescent="0.3">
      <c r="A58" s="75"/>
      <c r="B58" s="75"/>
      <c r="C58" s="75"/>
      <c r="D58" s="75"/>
      <c r="E58" s="76"/>
      <c r="F58" s="144" t="str">
        <f>KPI!$F$271</f>
        <v>Средняя ставка дисконтирования проекта</v>
      </c>
      <c r="G58" s="75"/>
      <c r="H58" s="75"/>
      <c r="I58" s="75"/>
      <c r="J58" s="145" t="str">
        <f>IF($F58="","",INDEX(KPI!$I$11:$I$275,SUMIFS(KPI!$E$11:$E$275,KPI!$F$11:$F$275,$F58)))</f>
        <v>%</v>
      </c>
      <c r="K58" s="75"/>
      <c r="L58" s="75"/>
      <c r="M58" s="175">
        <f>$M$259</f>
        <v>8.9477387159734176E-2</v>
      </c>
      <c r="N58" s="75"/>
      <c r="O58" s="7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75"/>
      <c r="AA58" s="75"/>
    </row>
    <row r="59" spans="1:27" s="93" customFormat="1" ht="6.6" x14ac:dyDescent="0.15">
      <c r="A59" s="90"/>
      <c r="B59" s="90"/>
      <c r="C59" s="90"/>
      <c r="D59" s="90"/>
      <c r="E59" s="91"/>
      <c r="F59" s="96"/>
      <c r="G59" s="90"/>
      <c r="H59" s="90"/>
      <c r="I59" s="90"/>
      <c r="J59" s="96"/>
      <c r="K59" s="90"/>
      <c r="L59" s="90"/>
      <c r="M59" s="97"/>
      <c r="N59" s="90"/>
      <c r="O59" s="90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90"/>
      <c r="AA59" s="90"/>
    </row>
    <row r="60" spans="1:27" x14ac:dyDescent="0.25">
      <c r="A60" s="3"/>
      <c r="B60" s="3"/>
      <c r="C60" s="3"/>
      <c r="D60" s="3"/>
      <c r="E60" s="55"/>
      <c r="F60" s="3"/>
      <c r="G60" s="3"/>
      <c r="H60" s="3"/>
      <c r="I60" s="3"/>
      <c r="J60" s="3"/>
      <c r="K60" s="3"/>
      <c r="L60" s="3"/>
      <c r="M60" s="33"/>
      <c r="N60" s="3"/>
      <c r="O60" s="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"/>
      <c r="AA60" s="3"/>
    </row>
    <row r="61" spans="1:27" x14ac:dyDescent="0.25">
      <c r="A61" s="3"/>
      <c r="B61" s="3"/>
      <c r="C61" s="3"/>
      <c r="D61" s="3"/>
      <c r="E61" s="55"/>
      <c r="F61" s="3" t="str">
        <f>структура!$P$15</f>
        <v>Расчет внутренней нормы доходности IRR:</v>
      </c>
      <c r="G61" s="3"/>
      <c r="H61" s="3"/>
      <c r="I61" s="3"/>
      <c r="J61" s="3"/>
      <c r="K61" s="185">
        <f>M61</f>
        <v>0</v>
      </c>
      <c r="L61" s="185"/>
      <c r="M61" s="41">
        <v>0</v>
      </c>
      <c r="N61" s="3"/>
      <c r="O61" s="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"/>
      <c r="AA61" s="3"/>
    </row>
    <row r="62" spans="1:27" s="11" customFormat="1" x14ac:dyDescent="0.25">
      <c r="A62" s="10"/>
      <c r="B62" s="10"/>
      <c r="C62" s="10"/>
      <c r="D62" s="10"/>
      <c r="E62" s="139"/>
      <c r="F62" s="10" t="str">
        <f>KPI!$F$272</f>
        <v>Финансовый поток при нулевом дисконтировании</v>
      </c>
      <c r="G62" s="10"/>
      <c r="H62" s="10"/>
      <c r="I62" s="10"/>
      <c r="J62" s="10" t="str">
        <f>IF($F62="","",INDEX(KPI!$I$11:$I$275,SUMIFS(KPI!$E$11:$E$275,KPI!$F$11:$F$275,$F62)))</f>
        <v>тыс.руб.</v>
      </c>
      <c r="K62" s="186"/>
      <c r="L62" s="186"/>
      <c r="M62" s="40">
        <f>SUM(O62:Z62)</f>
        <v>206014.37675575679</v>
      </c>
      <c r="N62" s="10"/>
      <c r="O62" s="10"/>
      <c r="P62" s="12">
        <f t="shared" ref="P62:Y62" si="7">(P$18-P$22-P$12)/POWER(1+$M61,P$1)</f>
        <v>-70000.000000000015</v>
      </c>
      <c r="Q62" s="12">
        <f t="shared" si="7"/>
        <v>-5.8207660913467407E-11</v>
      </c>
      <c r="R62" s="12">
        <f t="shared" si="7"/>
        <v>1.1641532182693481E-10</v>
      </c>
      <c r="S62" s="12">
        <f t="shared" si="7"/>
        <v>-1.1641532182693481E-10</v>
      </c>
      <c r="T62" s="12">
        <f t="shared" si="7"/>
        <v>-63628.733420000019</v>
      </c>
      <c r="U62" s="12">
        <f t="shared" si="7"/>
        <v>-2.3283064365386963E-10</v>
      </c>
      <c r="V62" s="12">
        <f t="shared" si="7"/>
        <v>9937.8169854381122</v>
      </c>
      <c r="W62" s="12">
        <f t="shared" si="7"/>
        <v>39820.552061045702</v>
      </c>
      <c r="X62" s="12">
        <f t="shared" si="7"/>
        <v>406655.59703460359</v>
      </c>
      <c r="Y62" s="12">
        <f t="shared" si="7"/>
        <v>-116770.85590533027</v>
      </c>
      <c r="Z62" s="10"/>
      <c r="AA62" s="10"/>
    </row>
    <row r="63" spans="1:27" x14ac:dyDescent="0.25">
      <c r="A63" s="3"/>
      <c r="B63" s="3"/>
      <c r="C63" s="3"/>
      <c r="D63" s="3"/>
      <c r="E63" s="55"/>
      <c r="F63" s="3"/>
      <c r="G63" s="3"/>
      <c r="H63" s="3"/>
      <c r="I63" s="3"/>
      <c r="J63" s="3"/>
      <c r="K63" s="185"/>
      <c r="L63" s="185"/>
      <c r="M63" s="184">
        <f>IF(M62&lt;0,структура!$P$14,IF(M62=0,0,AVERAGE(условия!$T$188:$AC$188)))</f>
        <v>8.7999999999999995E-2</v>
      </c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"/>
    </row>
    <row r="64" spans="1:27" x14ac:dyDescent="0.25">
      <c r="A64" s="3"/>
      <c r="B64" s="3"/>
      <c r="C64" s="3"/>
      <c r="D64" s="3"/>
      <c r="E64" s="55"/>
      <c r="F64" s="3"/>
      <c r="G64" s="3"/>
      <c r="H64" s="3"/>
      <c r="I64" s="3"/>
      <c r="J64" s="3"/>
      <c r="K64" s="185"/>
      <c r="L64" s="185"/>
      <c r="M64" s="63">
        <f>IF($M$63=структура!$P$14,"",SUM(O64:Z64))</f>
        <v>59829.537868446991</v>
      </c>
      <c r="N64" s="3"/>
      <c r="O64" s="3"/>
      <c r="P64" s="33">
        <f>IF($M$63=структура!$P$14,"",(P$18-P$22-P$12)/POWER(1+$M63,P$1))</f>
        <v>-64338.235294117658</v>
      </c>
      <c r="Q64" s="33">
        <f>IF($M$63=структура!$P$14,"",(Q$18-Q$22-Q$12)/POWER(1+$M63,Q$1))</f>
        <v>-4.9172507665058831E-11</v>
      </c>
      <c r="R64" s="33">
        <f>IF($M$63=структура!$P$14,"",(R$18-R$22-R$12)/POWER(1+$M63,R$1))</f>
        <v>9.0390639090181671E-11</v>
      </c>
      <c r="S64" s="33">
        <f>IF($M$63=структура!$P$14,"",(S$18-S$22-S$12)/POWER(1+$M63,S$1))</f>
        <v>-8.3079631516711087E-11</v>
      </c>
      <c r="T64" s="33">
        <f>IF($M$63=структура!$P$14,"",(T$18-T$22-T$12)/POWER(1+$M63,T$1))</f>
        <v>-41735.805667920315</v>
      </c>
      <c r="U64" s="33">
        <f>IF($M$63=структура!$P$14,"",(U$18-U$22-U$12)/POWER(1+$M63,U$1))</f>
        <v>-1.4036756514366464E-10</v>
      </c>
      <c r="V64" s="33">
        <f>IF($M$63=структура!$P$14,"",(V$18-V$22-V$12)/POWER(1+$M63,V$1))</f>
        <v>5506.6658897667267</v>
      </c>
      <c r="W64" s="33">
        <f>IF($M$63=структура!$P$14,"",(W$18-W$22-W$12)/POWER(1+$M63,W$1))</f>
        <v>20280.381191749708</v>
      </c>
      <c r="X64" s="33">
        <f>IF($M$63=структура!$P$14,"",(X$18-X$22-X$12)/POWER(1+$M63,X$1))</f>
        <v>190356.05504409529</v>
      </c>
      <c r="Y64" s="33">
        <f>IF($M$63=структура!$P$14,"",(Y$18-Y$22-Y$12)/POWER(1+$M63,Y$1))</f>
        <v>-50239.523295126579</v>
      </c>
      <c r="Z64" s="3"/>
      <c r="AA64" s="3"/>
    </row>
    <row r="65" spans="1:27" x14ac:dyDescent="0.25">
      <c r="A65" s="3"/>
      <c r="B65" s="3"/>
      <c r="C65" s="3"/>
      <c r="D65" s="3"/>
      <c r="E65" s="55"/>
      <c r="F65" s="3"/>
      <c r="G65" s="3"/>
      <c r="H65" s="3"/>
      <c r="I65" s="3"/>
      <c r="J65" s="3"/>
      <c r="K65" s="185">
        <f>IF(M64&lt;=0,K63,M63)</f>
        <v>8.7999999999999995E-2</v>
      </c>
      <c r="L65" s="185" t="str">
        <f>IF(AND(L63="",M64&lt;=0),M63,IF(AND(L63="",M64&gt;0),"",IF(M64&lt;=0,M63,L63)))</f>
        <v/>
      </c>
      <c r="M65" s="41">
        <f>IF(M64="","",IF(M64=0,M63,IF(L65="",M63*2,(K65+L65)/2)))</f>
        <v>0.17599999999999999</v>
      </c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"/>
      <c r="AA65" s="3"/>
    </row>
    <row r="66" spans="1:27" x14ac:dyDescent="0.25">
      <c r="A66" s="3"/>
      <c r="B66" s="3"/>
      <c r="C66" s="3"/>
      <c r="D66" s="3"/>
      <c r="E66" s="55"/>
      <c r="F66" s="3"/>
      <c r="G66" s="3"/>
      <c r="H66" s="3"/>
      <c r="I66" s="3"/>
      <c r="J66" s="3"/>
      <c r="K66" s="185"/>
      <c r="L66" s="185"/>
      <c r="M66" s="63">
        <f>IF($M$63=структура!$P$14,"",SUM(O66:Z66))</f>
        <v>-2285.7374995586142</v>
      </c>
      <c r="N66" s="3"/>
      <c r="O66" s="3"/>
      <c r="P66" s="33">
        <f>IF($M$63=структура!$P$14,"",(P$18-P$22-P$12)/POWER(1+$M65,P$1))</f>
        <v>-59523.809523809541</v>
      </c>
      <c r="Q66" s="33">
        <f>IF($M$63=структура!$P$14,"",(Q$18-Q$22-Q$12)/POWER(1+$M65,Q$1))</f>
        <v>-4.2088699235176475E-11</v>
      </c>
      <c r="R66" s="33">
        <f>IF($M$63=структура!$P$14,"",(R$18-R$22-R$12)/POWER(1+$M65,R$1))</f>
        <v>7.1579420467987204E-11</v>
      </c>
      <c r="S66" s="33">
        <f>IF($M$63=структура!$P$14,"",(S$18-S$22-S$12)/POWER(1+$M65,S$1))</f>
        <v>-6.0866854139444904E-11</v>
      </c>
      <c r="T66" s="33">
        <f>IF($M$63=структура!$P$14,"",(T$18-T$22-T$12)/POWER(1+$M65,T$1))</f>
        <v>-28288.939681260646</v>
      </c>
      <c r="U66" s="33">
        <f>IF($M$63=структура!$P$14,"",(U$18-U$22-U$12)/POWER(1+$M65,U$1))</f>
        <v>-8.8023008554660261E-11</v>
      </c>
      <c r="V66" s="33">
        <f>IF($M$63=структура!$P$14,"",(V$18-V$22-V$12)/POWER(1+$M65,V$1))</f>
        <v>3194.7710647676986</v>
      </c>
      <c r="W66" s="33">
        <f>IF($M$63=структура!$P$14,"",(W$18-W$22-W$12)/POWER(1+$M65,W$1))</f>
        <v>10885.50803609333</v>
      </c>
      <c r="X66" s="33">
        <f>IF($M$63=структура!$P$14,"",(X$18-X$22-X$12)/POWER(1+$M65,X$1))</f>
        <v>94528.084705176661</v>
      </c>
      <c r="Y66" s="33">
        <f>IF($M$63=структура!$P$14,"",(Y$18-Y$22-Y$12)/POWER(1+$M65,Y$1))</f>
        <v>-23081.352100526012</v>
      </c>
      <c r="Z66" s="3"/>
      <c r="AA66" s="3"/>
    </row>
    <row r="67" spans="1:27" x14ac:dyDescent="0.25">
      <c r="A67" s="3"/>
      <c r="B67" s="3"/>
      <c r="C67" s="3"/>
      <c r="D67" s="3"/>
      <c r="E67" s="55"/>
      <c r="F67" s="3"/>
      <c r="G67" s="3"/>
      <c r="H67" s="3"/>
      <c r="I67" s="3"/>
      <c r="J67" s="3"/>
      <c r="K67" s="185">
        <f t="shared" ref="K67" si="8">IF(M66&lt;=0,K65,M65)</f>
        <v>8.7999999999999995E-2</v>
      </c>
      <c r="L67" s="185">
        <f t="shared" ref="L67" si="9">IF(AND(L65="",M66&lt;=0),M65,IF(AND(L65="",M66&gt;0),"",IF(M66&lt;=0,M65,L65)))</f>
        <v>0.17599999999999999</v>
      </c>
      <c r="M67" s="41">
        <f t="shared" ref="M67" si="10">IF(M66="","",IF(M66=0,M65,IF(L67="",M65*2,(K67+L67)/2)))</f>
        <v>0.13200000000000001</v>
      </c>
      <c r="N67" s="3"/>
      <c r="O67" s="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"/>
      <c r="AA67" s="3"/>
    </row>
    <row r="68" spans="1:27" x14ac:dyDescent="0.25">
      <c r="A68" s="3"/>
      <c r="B68" s="3"/>
      <c r="C68" s="3"/>
      <c r="D68" s="3"/>
      <c r="E68" s="55"/>
      <c r="F68" s="3"/>
      <c r="G68" s="3"/>
      <c r="H68" s="3"/>
      <c r="I68" s="3"/>
      <c r="J68" s="3"/>
      <c r="K68" s="185"/>
      <c r="L68" s="185"/>
      <c r="M68" s="63">
        <f>IF($M$63=структура!$P$14,"",SUM(O68:Z68))</f>
        <v>22307.843267215656</v>
      </c>
      <c r="N68" s="3"/>
      <c r="O68" s="3"/>
      <c r="P68" s="33">
        <f>IF($M$63=структура!$P$14,"",(P$18-P$22-P$12)/POWER(1+$M67,P$1))</f>
        <v>-61837.455830388702</v>
      </c>
      <c r="Q68" s="33">
        <f>IF($M$63=структура!$P$14,"",(Q$18-Q$22-Q$12)/POWER(1+$M67,Q$1))</f>
        <v>-4.5424200665406139E-11</v>
      </c>
      <c r="R68" s="33">
        <f>IF($M$63=структура!$P$14,"",(R$18-R$22-R$12)/POWER(1+$M67,R$1))</f>
        <v>8.0254771493650418E-11</v>
      </c>
      <c r="S68" s="33">
        <f>IF($M$63=структура!$P$14,"",(S$18-S$22-S$12)/POWER(1+$M67,S$1))</f>
        <v>-7.0896441248807775E-11</v>
      </c>
      <c r="T68" s="33">
        <f>IF($M$63=структура!$P$14,"",(T$18-T$22-T$12)/POWER(1+$M67,T$1))</f>
        <v>-34231.122769567388</v>
      </c>
      <c r="U68" s="33">
        <f>IF($M$63=структура!$P$14,"",(U$18-U$22-U$12)/POWER(1+$M67,U$1))</f>
        <v>-1.1065258844661524E-10</v>
      </c>
      <c r="V68" s="33">
        <f>IF($M$63=структура!$P$14,"",(V$18-V$22-V$12)/POWER(1+$M67,V$1))</f>
        <v>4172.2085291639851</v>
      </c>
      <c r="W68" s="33">
        <f>IF($M$63=структура!$P$14,"",(W$18-W$22-W$12)/POWER(1+$M67,W$1))</f>
        <v>14768.482130573697</v>
      </c>
      <c r="X68" s="33">
        <f>IF($M$63=структура!$P$14,"",(X$18-X$22-X$12)/POWER(1+$M67,X$1))</f>
        <v>133232.11201613181</v>
      </c>
      <c r="Y68" s="33">
        <f>IF($M$63=структура!$P$14,"",(Y$18-Y$22-Y$12)/POWER(1+$M67,Y$1))</f>
        <v>-33796.380808697599</v>
      </c>
      <c r="Z68" s="3"/>
      <c r="AA68" s="3"/>
    </row>
    <row r="69" spans="1:27" x14ac:dyDescent="0.25">
      <c r="A69" s="3"/>
      <c r="B69" s="3"/>
      <c r="C69" s="3"/>
      <c r="D69" s="3"/>
      <c r="E69" s="55"/>
      <c r="F69" s="3"/>
      <c r="G69" s="3"/>
      <c r="H69" s="3"/>
      <c r="I69" s="3"/>
      <c r="J69" s="3"/>
      <c r="K69" s="185">
        <f t="shared" ref="K69" si="11">IF(M68&lt;=0,K67,M67)</f>
        <v>0.13200000000000001</v>
      </c>
      <c r="L69" s="185">
        <f t="shared" ref="L69" si="12">IF(AND(L67="",M68&lt;=0),M67,IF(AND(L67="",M68&gt;0),"",IF(M68&lt;=0,M67,L67)))</f>
        <v>0.17599999999999999</v>
      </c>
      <c r="M69" s="41">
        <f t="shared" ref="M69" si="13">IF(M68="","",IF(M68=0,M67,IF(L69="",M67*2,(K69+L69)/2)))</f>
        <v>0.154</v>
      </c>
      <c r="N69" s="3"/>
      <c r="O69" s="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"/>
      <c r="AA69" s="3"/>
    </row>
    <row r="70" spans="1:27" x14ac:dyDescent="0.25">
      <c r="A70" s="3"/>
      <c r="B70" s="3"/>
      <c r="C70" s="3"/>
      <c r="D70" s="3"/>
      <c r="E70" s="55"/>
      <c r="F70" s="3"/>
      <c r="G70" s="3"/>
      <c r="H70" s="3"/>
      <c r="I70" s="3"/>
      <c r="J70" s="3"/>
      <c r="K70" s="185"/>
      <c r="L70" s="185"/>
      <c r="M70" s="63">
        <f>IF($M$63=структура!$P$14,"",SUM(O70:Z70))</f>
        <v>8719.6494388311221</v>
      </c>
      <c r="N70" s="3"/>
      <c r="O70" s="3"/>
      <c r="P70" s="33">
        <f>IF($M$63=структура!$P$14,"",(P$18-P$22-P$12)/POWER(1+$M69,P$1))</f>
        <v>-60658.578856152533</v>
      </c>
      <c r="Q70" s="33">
        <f>IF($M$63=структура!$P$14,"",(Q$18-Q$22-Q$12)/POWER(1+$M69,Q$1))</f>
        <v>-4.3708764416337574E-11</v>
      </c>
      <c r="R70" s="33">
        <f>IF($M$63=структура!$P$14,"",(R$18-R$22-R$12)/POWER(1+$M69,R$1))</f>
        <v>7.5751758087240171E-11</v>
      </c>
      <c r="S70" s="33">
        <f>IF($M$63=структура!$P$14,"",(S$18-S$22-S$12)/POWER(1+$M69,S$1))</f>
        <v>-6.5642771306100663E-11</v>
      </c>
      <c r="T70" s="33">
        <f>IF($M$63=структура!$P$14,"",(T$18-T$22-T$12)/POWER(1+$M69,T$1))</f>
        <v>-31090.251430691922</v>
      </c>
      <c r="U70" s="33">
        <f>IF($M$63=структура!$P$14,"",(U$18-U$22-U$12)/POWER(1+$M69,U$1))</f>
        <v>-9.8583739034599973E-11</v>
      </c>
      <c r="V70" s="33">
        <f>IF($M$63=структура!$P$14,"",(V$18-V$22-V$12)/POWER(1+$M69,V$1))</f>
        <v>3646.2826653551379</v>
      </c>
      <c r="W70" s="33">
        <f>IF($M$63=структура!$P$14,"",(W$18-W$22-W$12)/POWER(1+$M69,W$1))</f>
        <v>12660.790021947023</v>
      </c>
      <c r="X70" s="33">
        <f>IF($M$63=структура!$P$14,"",(X$18-X$22-X$12)/POWER(1+$M69,X$1))</f>
        <v>112040.35462026096</v>
      </c>
      <c r="Y70" s="33">
        <f>IF($M$63=структура!$P$14,"",(Y$18-Y$22-Y$12)/POWER(1+$M69,Y$1))</f>
        <v>-27878.947581887394</v>
      </c>
      <c r="Z70" s="3"/>
      <c r="AA70" s="3"/>
    </row>
    <row r="71" spans="1:27" x14ac:dyDescent="0.25">
      <c r="A71" s="3"/>
      <c r="B71" s="3"/>
      <c r="C71" s="3"/>
      <c r="D71" s="3"/>
      <c r="E71" s="55"/>
      <c r="F71" s="3"/>
      <c r="G71" s="3"/>
      <c r="H71" s="3"/>
      <c r="I71" s="3"/>
      <c r="J71" s="3"/>
      <c r="K71" s="185">
        <f t="shared" ref="K71" si="14">IF(M70&lt;=0,K69,M69)</f>
        <v>0.154</v>
      </c>
      <c r="L71" s="185">
        <f t="shared" ref="L71" si="15">IF(AND(L69="",M70&lt;=0),M69,IF(AND(L69="",M70&gt;0),"",IF(M70&lt;=0,M69,L69)))</f>
        <v>0.17599999999999999</v>
      </c>
      <c r="M71" s="41">
        <f t="shared" ref="M71" si="16">IF(M70="","",IF(M70=0,M69,IF(L71="",M69*2,(K71+L71)/2)))</f>
        <v>0.16499999999999998</v>
      </c>
      <c r="N71" s="3"/>
      <c r="O71" s="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"/>
      <c r="AA71" s="3"/>
    </row>
    <row r="72" spans="1:27" x14ac:dyDescent="0.25">
      <c r="A72" s="3"/>
      <c r="B72" s="3"/>
      <c r="C72" s="3"/>
      <c r="D72" s="3"/>
      <c r="E72" s="55"/>
      <c r="F72" s="3"/>
      <c r="G72" s="3"/>
      <c r="H72" s="3"/>
      <c r="I72" s="3"/>
      <c r="J72" s="3"/>
      <c r="K72" s="185"/>
      <c r="L72" s="185"/>
      <c r="M72" s="63">
        <f>IF($M$63=структура!$P$14,"",SUM(O72:Z72))</f>
        <v>2927.1248346030516</v>
      </c>
      <c r="N72" s="3"/>
      <c r="O72" s="3"/>
      <c r="P72" s="33">
        <f>IF($M$63=структура!$P$14,"",(P$18-P$22-P$12)/POWER(1+$M71,P$1))</f>
        <v>-60085.836909871257</v>
      </c>
      <c r="Q72" s="33">
        <f>IF($M$63=структура!$P$14,"",(Q$18-Q$22-Q$12)/POWER(1+$M71,Q$1))</f>
        <v>-4.2887259602105325E-11</v>
      </c>
      <c r="R72" s="33">
        <f>IF($M$63=структура!$P$14,"",(R$18-R$22-R$12)/POWER(1+$M71,R$1))</f>
        <v>7.3626196741811719E-11</v>
      </c>
      <c r="S72" s="33">
        <f>IF($M$63=структура!$P$14,"",(S$18-S$22-S$12)/POWER(1+$M71,S$1))</f>
        <v>-6.3198452138894168E-11</v>
      </c>
      <c r="T72" s="33">
        <f>IF($M$63=структура!$P$14,"",(T$18-T$22-T$12)/POWER(1+$M71,T$1))</f>
        <v>-29649.928576912414</v>
      </c>
      <c r="U72" s="33">
        <f>IF($M$63=структура!$P$14,"",(U$18-U$22-U$12)/POWER(1+$M71,U$1))</f>
        <v>-9.3128924296110321E-11</v>
      </c>
      <c r="V72" s="33">
        <f>IF($M$63=структура!$P$14,"",(V$18-V$22-V$12)/POWER(1+$M71,V$1))</f>
        <v>3412.0038849885441</v>
      </c>
      <c r="W72" s="33">
        <f>IF($M$63=структура!$P$14,"",(W$18-W$22-W$12)/POWER(1+$M71,W$1))</f>
        <v>11735.453414064572</v>
      </c>
      <c r="X72" s="33">
        <f>IF($M$63=структура!$P$14,"",(X$18-X$22-X$12)/POWER(1+$M71,X$1))</f>
        <v>102871.10997123951</v>
      </c>
      <c r="Y72" s="33">
        <f>IF($M$63=структура!$P$14,"",(Y$18-Y$22-Y$12)/POWER(1+$M71,Y$1))</f>
        <v>-25355.676948905773</v>
      </c>
      <c r="Z72" s="3"/>
      <c r="AA72" s="3"/>
    </row>
    <row r="73" spans="1:27" x14ac:dyDescent="0.25">
      <c r="A73" s="3"/>
      <c r="B73" s="3"/>
      <c r="C73" s="3"/>
      <c r="D73" s="3"/>
      <c r="E73" s="55"/>
      <c r="F73" s="3"/>
      <c r="G73" s="3"/>
      <c r="H73" s="3"/>
      <c r="I73" s="3"/>
      <c r="J73" s="3"/>
      <c r="K73" s="185">
        <f t="shared" ref="K73" si="17">IF(M72&lt;=0,K71,M71)</f>
        <v>0.16499999999999998</v>
      </c>
      <c r="L73" s="185">
        <f t="shared" ref="L73" si="18">IF(AND(L71="",M72&lt;=0),M71,IF(AND(L71="",M72&gt;0),"",IF(M72&lt;=0,M71,L71)))</f>
        <v>0.17599999999999999</v>
      </c>
      <c r="M73" s="41">
        <f t="shared" ref="M73" si="19">IF(M72="","",IF(M72=0,M71,IF(L73="",M71*2,(K73+L73)/2)))</f>
        <v>0.17049999999999998</v>
      </c>
      <c r="N73" s="3"/>
      <c r="O73" s="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"/>
      <c r="AA73" s="3"/>
    </row>
    <row r="74" spans="1:27" x14ac:dyDescent="0.25">
      <c r="A74" s="3"/>
      <c r="B74" s="3"/>
      <c r="C74" s="3"/>
      <c r="D74" s="3"/>
      <c r="E74" s="55"/>
      <c r="F74" s="3"/>
      <c r="G74" s="3"/>
      <c r="H74" s="3"/>
      <c r="I74" s="3"/>
      <c r="J74" s="3"/>
      <c r="K74" s="185"/>
      <c r="L74" s="185"/>
      <c r="M74" s="63">
        <f>IF($M$63=структура!$P$14,"",SUM(O74:Z74))</f>
        <v>251.97210828071911</v>
      </c>
      <c r="N74" s="3"/>
      <c r="O74" s="3"/>
      <c r="P74" s="33">
        <f>IF($M$63=структура!$P$14,"",(P$18-P$22-P$12)/POWER(1+$M73,P$1))</f>
        <v>-59803.502776591209</v>
      </c>
      <c r="Q74" s="33">
        <f>IF($M$63=структура!$P$14,"",(Q$18-Q$22-Q$12)/POWER(1+$M73,Q$1))</f>
        <v>-4.2485165204826102E-11</v>
      </c>
      <c r="R74" s="33">
        <f>IF($M$63=структура!$P$14,"",(R$18-R$22-R$12)/POWER(1+$M73,R$1))</f>
        <v>7.2593191294021522E-11</v>
      </c>
      <c r="S74" s="33">
        <f>IF($M$63=структура!$P$14,"",(S$18-S$22-S$12)/POWER(1+$M73,S$1))</f>
        <v>-6.2018958815909038E-11</v>
      </c>
      <c r="T74" s="33">
        <f>IF($M$63=структура!$P$14,"",(T$18-T$22-T$12)/POWER(1+$M73,T$1))</f>
        <v>-28959.842006092487</v>
      </c>
      <c r="U74" s="33">
        <f>IF($M$63=структура!$P$14,"",(U$18-U$22-U$12)/POWER(1+$M73,U$1))</f>
        <v>-9.0533983663843566E-11</v>
      </c>
      <c r="V74" s="33">
        <f>IF($M$63=структура!$P$14,"",(V$18-V$22-V$12)/POWER(1+$M73,V$1))</f>
        <v>3301.3461902739837</v>
      </c>
      <c r="W74" s="33">
        <f>IF($M$63=структура!$P$14,"",(W$18-W$22-W$12)/POWER(1+$M73,W$1))</f>
        <v>11301.495915543341</v>
      </c>
      <c r="X74" s="33">
        <f>IF($M$63=структура!$P$14,"",(X$18-X$22-X$12)/POWER(1+$M73,X$1))</f>
        <v>98601.606713298446</v>
      </c>
      <c r="Y74" s="33">
        <f>IF($M$63=структура!$P$14,"",(Y$18-Y$22-Y$12)/POWER(1+$M73,Y$1))</f>
        <v>-24189.13192815123</v>
      </c>
      <c r="Z74" s="3"/>
      <c r="AA74" s="3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185">
        <f t="shared" ref="K75" si="20">IF(M74&lt;=0,K73,M73)</f>
        <v>0.17049999999999998</v>
      </c>
      <c r="L75" s="185">
        <f t="shared" ref="L75" si="21">IF(AND(L73="",M74&lt;=0),M73,IF(AND(L73="",M74&gt;0),"",IF(M74&lt;=0,M73,L73)))</f>
        <v>0.17599999999999999</v>
      </c>
      <c r="M75" s="41">
        <f t="shared" ref="M75" si="22">IF(M74="","",IF(M74=0,M73,IF(L75="",M73*2,(K75+L75)/2)))</f>
        <v>0.17324999999999999</v>
      </c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185"/>
      <c r="L76" s="185"/>
      <c r="M76" s="63">
        <f>IF($M$63=структура!$P$14,"",SUM(O76:Z76))</f>
        <v>-1033.618379585776</v>
      </c>
      <c r="N76" s="3"/>
      <c r="O76" s="3"/>
      <c r="P76" s="33">
        <f>IF($M$63=структура!$P$14,"",(P$18-P$22-P$12)/POWER(1+$M75,P$1))</f>
        <v>-59663.328361389322</v>
      </c>
      <c r="Q76" s="33">
        <f>IF($M$63=структура!$P$14,"",(Q$18-Q$22-Q$12)/POWER(1+$M75,Q$1))</f>
        <v>-4.2286235258940207E-11</v>
      </c>
      <c r="R76" s="33">
        <f>IF($M$63=структура!$P$14,"",(R$18-R$22-R$12)/POWER(1+$M75,R$1))</f>
        <v>7.2083929697745934E-11</v>
      </c>
      <c r="S76" s="33">
        <f>IF($M$63=структура!$P$14,"",(S$18-S$22-S$12)/POWER(1+$M75,S$1))</f>
        <v>-6.1439530959084549E-11</v>
      </c>
      <c r="T76" s="33">
        <f>IF($M$63=структура!$P$14,"",(T$18-T$22-T$12)/POWER(1+$M75,T$1))</f>
        <v>-28622.032065399508</v>
      </c>
      <c r="U76" s="33">
        <f>IF($M$63=структура!$P$14,"",(U$18-U$22-U$12)/POWER(1+$M75,U$1))</f>
        <v>-8.9268196645011852E-11</v>
      </c>
      <c r="V76" s="33">
        <f>IF($M$63=структура!$P$14,"",(V$18-V$22-V$12)/POWER(1+$M75,V$1))</f>
        <v>3247.5590334879507</v>
      </c>
      <c r="W76" s="33">
        <f>IF($M$63=структура!$P$14,"",(W$18-W$22-W$12)/POWER(1+$M75,W$1))</f>
        <v>11091.308204228539</v>
      </c>
      <c r="X76" s="33">
        <f>IF($M$63=структура!$P$14,"",(X$18-X$22-X$12)/POWER(1+$M75,X$1))</f>
        <v>96540.976682563865</v>
      </c>
      <c r="Y76" s="33">
        <f>IF($M$63=структура!$P$14,"",(Y$18-Y$22-Y$12)/POWER(1+$M75,Y$1))</f>
        <v>-23628.101873077187</v>
      </c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185">
        <f t="shared" ref="K77" si="23">IF(M76&lt;=0,K75,M75)</f>
        <v>0.17049999999999998</v>
      </c>
      <c r="L77" s="185">
        <f t="shared" ref="L77" si="24">IF(AND(L75="",M76&lt;=0),M75,IF(AND(L75="",M76&gt;0),"",IF(M76&lt;=0,M75,L75)))</f>
        <v>0.17324999999999999</v>
      </c>
      <c r="M77" s="41">
        <f t="shared" ref="M77" si="25">IF(M76="","",IF(M76=0,M75,IF(L77="",M75*2,(K77+L77)/2)))</f>
        <v>0.171875</v>
      </c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185"/>
      <c r="L78" s="185"/>
      <c r="M78" s="63">
        <f>IF($M$63=структура!$P$14,"",SUM(O78:Z78))</f>
        <v>-395.06168644204081</v>
      </c>
      <c r="N78" s="3"/>
      <c r="O78" s="3"/>
      <c r="P78" s="33">
        <f>IF($M$63=структура!$P$14,"",(P$18-P$22-P$12)/POWER(1+$M77,P$1))</f>
        <v>-59733.333333333343</v>
      </c>
      <c r="Q78" s="33">
        <f>IF($M$63=структура!$P$14,"",(Q$18-Q$22-Q$12)/POWER(1+$M77,Q$1))</f>
        <v>-4.2385525173611113E-11</v>
      </c>
      <c r="R78" s="33">
        <f>IF($M$63=структура!$P$14,"",(R$18-R$22-R$12)/POWER(1+$M77,R$1))</f>
        <v>7.2337962962962962E-11</v>
      </c>
      <c r="S78" s="33">
        <f>IF($M$63=структура!$P$14,"",(S$18-S$22-S$12)/POWER(1+$M77,S$1))</f>
        <v>-6.1728395061728393E-11</v>
      </c>
      <c r="T78" s="33">
        <f>IF($M$63=структура!$P$14,"",(T$18-T$22-T$12)/POWER(1+$M77,T$1))</f>
        <v>-28790.342492160242</v>
      </c>
      <c r="U78" s="33">
        <f>IF($M$63=структура!$P$14,"",(U$18-U$22-U$12)/POWER(1+$M77,U$1))</f>
        <v>-8.9898491083676268E-11</v>
      </c>
      <c r="V78" s="33">
        <f>IF($M$63=структура!$P$14,"",(V$18-V$22-V$12)/POWER(1+$M77,V$1))</f>
        <v>3274.326392134999</v>
      </c>
      <c r="W78" s="33">
        <f>IF($M$63=структура!$P$14,"",(W$18-W$22-W$12)/POWER(1+$M77,W$1))</f>
        <v>11195.847168784294</v>
      </c>
      <c r="X78" s="33">
        <f>IF($M$63=структура!$P$14,"",(X$18-X$22-X$12)/POWER(1+$M77,X$1))</f>
        <v>97565.24724419837</v>
      </c>
      <c r="Y78" s="33">
        <f>IF($M$63=структура!$P$14,"",(Y$18-Y$22-Y$12)/POWER(1+$M77,Y$1))</f>
        <v>-23906.806666066008</v>
      </c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185">
        <f t="shared" ref="K79" si="26">IF(M78&lt;=0,K77,M77)</f>
        <v>0.17049999999999998</v>
      </c>
      <c r="L79" s="185">
        <f t="shared" ref="L79" si="27">IF(AND(L77="",M78&lt;=0),M77,IF(AND(L77="",M78&gt;0),"",IF(M78&lt;=0,M77,L77)))</f>
        <v>0.171875</v>
      </c>
      <c r="M79" s="41">
        <f t="shared" ref="M79" si="28">IF(M78="","",IF(M78=0,M77,IF(L79="",M77*2,(K79+L79)/2)))</f>
        <v>0.17118749999999999</v>
      </c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185"/>
      <c r="L80" s="185"/>
      <c r="M80" s="63">
        <f>IF($M$63=структура!$P$14,"",SUM(O80:Z80))</f>
        <v>-72.611338250051631</v>
      </c>
      <c r="N80" s="3"/>
      <c r="O80" s="3"/>
      <c r="P80" s="33">
        <f>IF($M$63=структура!$P$14,"",(P$18-P$22-P$12)/POWER(1+$M79,P$1))</f>
        <v>-59768.397459843116</v>
      </c>
      <c r="Q80" s="33">
        <f>IF($M$63=структура!$P$14,"",(Q$18-Q$22-Q$12)/POWER(1+$M79,Q$1))</f>
        <v>-4.24353013218744E-11</v>
      </c>
      <c r="R80" s="33">
        <f>IF($M$63=структура!$P$14,"",(R$18-R$22-R$12)/POWER(1+$M79,R$1))</f>
        <v>7.2465427306685561E-11</v>
      </c>
      <c r="S80" s="33">
        <f>IF($M$63=структура!$P$14,"",(S$18-S$22-S$12)/POWER(1+$M79,S$1))</f>
        <v>-6.187346373376216E-11</v>
      </c>
      <c r="T80" s="33">
        <f>IF($M$63=структура!$P$14,"",(T$18-T$22-T$12)/POWER(1+$M79,T$1))</f>
        <v>-28874.94300211579</v>
      </c>
      <c r="U80" s="33">
        <f>IF($M$63=структура!$P$14,"",(U$18-U$22-U$12)/POWER(1+$M79,U$1))</f>
        <v>-9.0215584552471847E-11</v>
      </c>
      <c r="V80" s="33">
        <f>IF($M$63=структура!$P$14,"",(V$18-V$22-V$12)/POWER(1+$M79,V$1))</f>
        <v>3287.8045694137172</v>
      </c>
      <c r="W80" s="33">
        <f>IF($M$63=структура!$P$14,"",(W$18-W$22-W$12)/POWER(1+$M79,W$1))</f>
        <v>11248.53200423616</v>
      </c>
      <c r="X80" s="33">
        <f>IF($M$63=структура!$P$14,"",(X$18-X$22-X$12)/POWER(1+$M79,X$1))</f>
        <v>98081.906096450373</v>
      </c>
      <c r="Y80" s="33">
        <f>IF($M$63=структура!$P$14,"",(Y$18-Y$22-Y$12)/POWER(1+$M79,Y$1))</f>
        <v>-24047.513546391263</v>
      </c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185">
        <f t="shared" ref="K81" si="29">IF(M80&lt;=0,K79,M79)</f>
        <v>0.17049999999999998</v>
      </c>
      <c r="L81" s="185">
        <f t="shared" ref="L81" si="30">IF(AND(L79="",M80&lt;=0),M79,IF(AND(L79="",M80&gt;0),"",IF(M80&lt;=0,M79,L79)))</f>
        <v>0.17118749999999999</v>
      </c>
      <c r="M81" s="41">
        <f t="shared" ref="M81" si="31">IF(M80="","",IF(M80=0,M79,IF(L81="",M79*2,(K81+L81)/2)))</f>
        <v>0.17084374999999999</v>
      </c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185"/>
      <c r="L82" s="185"/>
      <c r="M82" s="63">
        <f>IF($M$63=структура!$P$14,"",SUM(O82:Z82))</f>
        <v>89.412878559865931</v>
      </c>
      <c r="N82" s="3"/>
      <c r="O82" s="3"/>
      <c r="P82" s="33">
        <f>IF($M$63=структура!$P$14,"",(P$18-P$22-P$12)/POWER(1+$M81,P$1))</f>
        <v>-59785.944964902461</v>
      </c>
      <c r="Q82" s="33">
        <f>IF($M$63=структура!$P$14,"",(Q$18-Q$22-Q$12)/POWER(1+$M81,Q$1))</f>
        <v>-4.2460222283634171E-11</v>
      </c>
      <c r="R82" s="33">
        <f>IF($M$63=структура!$P$14,"",(R$18-R$22-R$12)/POWER(1+$M81,R$1))</f>
        <v>7.2529271789910781E-11</v>
      </c>
      <c r="S82" s="33">
        <f>IF($M$63=структура!$P$14,"",(S$18-S$22-S$12)/POWER(1+$M81,S$1))</f>
        <v>-6.194615787965796E-11</v>
      </c>
      <c r="T82" s="33">
        <f>IF($M$63=структура!$P$14,"",(T$18-T$22-T$12)/POWER(1+$M81,T$1))</f>
        <v>-28917.355115648068</v>
      </c>
      <c r="U82" s="33">
        <f>IF($M$63=структура!$P$14,"",(U$18-U$22-U$12)/POWER(1+$M81,U$1))</f>
        <v>-9.0374620519369399E-11</v>
      </c>
      <c r="V82" s="33">
        <f>IF($M$63=структура!$P$14,"",(V$18-V$22-V$12)/POWER(1+$M81,V$1))</f>
        <v>3294.5674284321199</v>
      </c>
      <c r="W82" s="33">
        <f>IF($M$63=структура!$P$14,"",(W$18-W$22-W$12)/POWER(1+$M81,W$1))</f>
        <v>11274.97897293735</v>
      </c>
      <c r="X82" s="33">
        <f>IF($M$63=структура!$P$14,"",(X$18-X$22-X$12)/POWER(1+$M81,X$1))</f>
        <v>98341.374955654363</v>
      </c>
      <c r="Y82" s="33">
        <f>IF($M$63=структура!$P$14,"",(Y$18-Y$22-Y$12)/POWER(1+$M81,Y$1))</f>
        <v>-24118.208397913295</v>
      </c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185">
        <f t="shared" ref="K83" si="32">IF(M82&lt;=0,K81,M81)</f>
        <v>0.17084374999999999</v>
      </c>
      <c r="L83" s="185">
        <f t="shared" ref="L83:L145" si="33">IF(AND(L81="",M82&lt;=0),M81,IF(AND(L81="",M82&gt;0),"",IF(M82&lt;=0,M81,L81)))</f>
        <v>0.17118749999999999</v>
      </c>
      <c r="M83" s="41">
        <f t="shared" ref="M83" si="34">IF(M82="","",IF(M82=0,M81,IF(L83="",M81*2,(K83+L83)/2)))</f>
        <v>0.171015625</v>
      </c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  <row r="84" spans="1:27" x14ac:dyDescent="0.25">
      <c r="A84" s="3"/>
      <c r="B84" s="3"/>
      <c r="C84" s="3"/>
      <c r="D84" s="3"/>
      <c r="E84" s="55"/>
      <c r="F84" s="3"/>
      <c r="G84" s="3"/>
      <c r="H84" s="3"/>
      <c r="I84" s="3"/>
      <c r="J84" s="3"/>
      <c r="K84" s="185"/>
      <c r="L84" s="185"/>
      <c r="M84" s="63">
        <f>IF($M$63=структура!$P$14,"",SUM(O84:Z84))</f>
        <v>8.3340024210556294</v>
      </c>
      <c r="N84" s="3"/>
      <c r="O84" s="3"/>
      <c r="P84" s="33">
        <f>IF($M$63=структура!$P$14,"",(P$18-P$22-P$12)/POWER(1+$M83,P$1))</f>
        <v>-59777.1699246114</v>
      </c>
      <c r="Q84" s="33">
        <f>IF($M$63=структура!$P$14,"",(Q$18-Q$22-Q$12)/POWER(1+$M83,Q$1))</f>
        <v>-4.2447759059436751E-11</v>
      </c>
      <c r="R84" s="33">
        <f>IF($M$63=структура!$P$14,"",(R$18-R$22-R$12)/POWER(1+$M83,R$1))</f>
        <v>7.2497340177568947E-11</v>
      </c>
      <c r="S84" s="33">
        <f>IF($M$63=структура!$P$14,"",(S$18-S$22-S$12)/POWER(1+$M83,S$1))</f>
        <v>-6.1909797469669935E-11</v>
      </c>
      <c r="T84" s="33">
        <f>IF($M$63=структура!$P$14,"",(T$18-T$22-T$12)/POWER(1+$M83,T$1))</f>
        <v>-28896.13972136992</v>
      </c>
      <c r="U84" s="33">
        <f>IF($M$63=структура!$P$14,"",(U$18-U$22-U$12)/POWER(1+$M83,U$1))</f>
        <v>-9.0295061686736033E-11</v>
      </c>
      <c r="V84" s="33">
        <f>IF($M$63=структура!$P$14,"",(V$18-V$22-V$12)/POWER(1+$M83,V$1))</f>
        <v>3291.1840136953001</v>
      </c>
      <c r="W84" s="33">
        <f>IF($M$63=структура!$P$14,"",(W$18-W$22-W$12)/POWER(1+$M83,W$1))</f>
        <v>11261.746754683325</v>
      </c>
      <c r="X84" s="33">
        <f>IF($M$63=структура!$P$14,"",(X$18-X$22-X$12)/POWER(1+$M83,X$1))</f>
        <v>98211.545317666285</v>
      </c>
      <c r="Y84" s="33">
        <f>IF($M$63=структура!$P$14,"",(Y$18-Y$22-Y$12)/POWER(1+$M83,Y$1))</f>
        <v>-24082.832437642406</v>
      </c>
      <c r="Z84" s="3"/>
      <c r="AA84" s="3"/>
    </row>
    <row r="85" spans="1:27" x14ac:dyDescent="0.25">
      <c r="A85" s="3"/>
      <c r="B85" s="3"/>
      <c r="C85" s="3"/>
      <c r="D85" s="3"/>
      <c r="E85" s="55"/>
      <c r="F85" s="3"/>
      <c r="G85" s="3"/>
      <c r="H85" s="3"/>
      <c r="I85" s="3"/>
      <c r="J85" s="3"/>
      <c r="K85" s="185">
        <f t="shared" ref="K85" si="35">IF(M84&lt;=0,K83,M83)</f>
        <v>0.171015625</v>
      </c>
      <c r="L85" s="185">
        <f t="shared" si="33"/>
        <v>0.17118749999999999</v>
      </c>
      <c r="M85" s="41">
        <f t="shared" ref="M85" si="36">IF(M84="","",IF(M84=0,M83,IF(L85="",M83*2,(K85+L85)/2)))</f>
        <v>0.1711015625</v>
      </c>
      <c r="N85" s="3"/>
      <c r="O85" s="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"/>
      <c r="AA85" s="3"/>
    </row>
    <row r="86" spans="1:27" x14ac:dyDescent="0.25">
      <c r="A86" s="3"/>
      <c r="B86" s="3"/>
      <c r="C86" s="3"/>
      <c r="D86" s="3"/>
      <c r="E86" s="55"/>
      <c r="F86" s="3"/>
      <c r="G86" s="3"/>
      <c r="H86" s="3"/>
      <c r="I86" s="3"/>
      <c r="J86" s="3"/>
      <c r="K86" s="185"/>
      <c r="L86" s="185"/>
      <c r="M86" s="63">
        <f>IF($M$63=структура!$P$14,"",SUM(O86:Z86))</f>
        <v>-32.155346258598001</v>
      </c>
      <c r="N86" s="3"/>
      <c r="O86" s="3"/>
      <c r="P86" s="33">
        <f>IF($M$63=структура!$P$14,"",(P$18-P$22-P$12)/POWER(1+$M85,P$1))</f>
        <v>-59772.783370357778</v>
      </c>
      <c r="Q86" s="33">
        <f>IF($M$63=структура!$P$14,"",(Q$18-Q$22-Q$12)/POWER(1+$M85,Q$1))</f>
        <v>-4.2441529505027492E-11</v>
      </c>
      <c r="R86" s="33">
        <f>IF($M$63=структура!$P$14,"",(R$18-R$22-R$12)/POWER(1+$M85,R$1))</f>
        <v>7.2481381400304435E-11</v>
      </c>
      <c r="S86" s="33">
        <f>IF($M$63=структура!$P$14,"",(S$18-S$22-S$12)/POWER(1+$M85,S$1))</f>
        <v>-6.1891627268923947E-11</v>
      </c>
      <c r="T86" s="33">
        <f>IF($M$63=структура!$P$14,"",(T$18-T$22-T$12)/POWER(1+$M85,T$1))</f>
        <v>-28885.539028563853</v>
      </c>
      <c r="U86" s="33">
        <f>IF($M$63=структура!$P$14,"",(U$18-U$22-U$12)/POWER(1+$M85,U$1))</f>
        <v>-9.0255312913302343E-11</v>
      </c>
      <c r="V86" s="33">
        <f>IF($M$63=структура!$P$14,"",(V$18-V$22-V$12)/POWER(1+$M85,V$1))</f>
        <v>3289.4937955753439</v>
      </c>
      <c r="W86" s="33">
        <f>IF($M$63=структура!$P$14,"",(W$18-W$22-W$12)/POWER(1+$M85,W$1))</f>
        <v>11255.13719758594</v>
      </c>
      <c r="X86" s="33">
        <f>IF($M$63=структура!$P$14,"",(X$18-X$22-X$12)/POWER(1+$M85,X$1))</f>
        <v>98146.70192417191</v>
      </c>
      <c r="Y86" s="33">
        <f>IF($M$63=структура!$P$14,"",(Y$18-Y$22-Y$12)/POWER(1+$M85,Y$1))</f>
        <v>-24065.165864670034</v>
      </c>
      <c r="Z86" s="3"/>
      <c r="AA86" s="3"/>
    </row>
    <row r="87" spans="1:27" x14ac:dyDescent="0.25">
      <c r="A87" s="3"/>
      <c r="B87" s="3"/>
      <c r="C87" s="3"/>
      <c r="D87" s="3"/>
      <c r="E87" s="55"/>
      <c r="F87" s="3"/>
      <c r="G87" s="3"/>
      <c r="H87" s="3"/>
      <c r="I87" s="3"/>
      <c r="J87" s="3"/>
      <c r="K87" s="185">
        <f t="shared" ref="K87" si="37">IF(M86&lt;=0,K85,M85)</f>
        <v>0.171015625</v>
      </c>
      <c r="L87" s="185">
        <f t="shared" si="33"/>
        <v>0.1711015625</v>
      </c>
      <c r="M87" s="41">
        <f t="shared" ref="M87" si="38">IF(M86="","",IF(M86=0,M85,IF(L87="",M85*2,(K87+L87)/2)))</f>
        <v>0.17105859374999999</v>
      </c>
      <c r="N87" s="3"/>
      <c r="O87" s="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"/>
      <c r="AA87" s="3"/>
    </row>
    <row r="88" spans="1:27" x14ac:dyDescent="0.25">
      <c r="A88" s="3"/>
      <c r="B88" s="3"/>
      <c r="C88" s="3"/>
      <c r="D88" s="3"/>
      <c r="E88" s="55"/>
      <c r="F88" s="3"/>
      <c r="G88" s="3"/>
      <c r="H88" s="3"/>
      <c r="I88" s="3"/>
      <c r="J88" s="3"/>
      <c r="K88" s="185"/>
      <c r="L88" s="185"/>
      <c r="M88" s="63">
        <f>IF($M$63=структура!$P$14,"",SUM(O88:Z88))</f>
        <v>-11.914843202550401</v>
      </c>
      <c r="N88" s="3"/>
      <c r="O88" s="3"/>
      <c r="P88" s="33">
        <f>IF($M$63=структура!$P$14,"",(P$18-P$22-P$12)/POWER(1+$M87,P$1))</f>
        <v>-59774.976567008365</v>
      </c>
      <c r="Q88" s="33">
        <f>IF($M$63=структура!$P$14,"",(Q$18-Q$22-Q$12)/POWER(1+$M87,Q$1))</f>
        <v>-4.2444644110799941E-11</v>
      </c>
      <c r="R88" s="33">
        <f>IF($M$63=структура!$P$14,"",(R$18-R$22-R$12)/POWER(1+$M87,R$1))</f>
        <v>7.2489360203373577E-11</v>
      </c>
      <c r="S88" s="33">
        <f>IF($M$63=структура!$P$14,"",(S$18-S$22-S$12)/POWER(1+$M87,S$1))</f>
        <v>-6.1900711535915485E-11</v>
      </c>
      <c r="T88" s="33">
        <f>IF($M$63=структура!$P$14,"",(T$18-T$22-T$12)/POWER(1+$M87,T$1))</f>
        <v>-28890.838791522314</v>
      </c>
      <c r="U88" s="33">
        <f>IF($M$63=структура!$P$14,"",(U$18-U$22-U$12)/POWER(1+$M87,U$1))</f>
        <v>-9.0275184747694769E-11</v>
      </c>
      <c r="V88" s="33">
        <f>IF($M$63=структура!$P$14,"",(V$18-V$22-V$12)/POWER(1+$M87,V$1))</f>
        <v>3290.3387805995826</v>
      </c>
      <c r="W88" s="33">
        <f>IF($M$63=структура!$P$14,"",(W$18-W$22-W$12)/POWER(1+$M87,W$1))</f>
        <v>11258.441430466026</v>
      </c>
      <c r="X88" s="33">
        <f>IF($M$63=структура!$P$14,"",(X$18-X$22-X$12)/POWER(1+$M87,X$1))</f>
        <v>98179.11767279754</v>
      </c>
      <c r="Y88" s="33">
        <f>IF($M$63=структура!$P$14,"",(Y$18-Y$22-Y$12)/POWER(1+$M87,Y$1))</f>
        <v>-24073.997368534907</v>
      </c>
      <c r="Z88" s="3"/>
      <c r="AA88" s="3"/>
    </row>
    <row r="89" spans="1:27" x14ac:dyDescent="0.25">
      <c r="A89" s="3"/>
      <c r="B89" s="3"/>
      <c r="C89" s="3"/>
      <c r="D89" s="3"/>
      <c r="E89" s="55"/>
      <c r="F89" s="3"/>
      <c r="G89" s="3"/>
      <c r="H89" s="3"/>
      <c r="I89" s="3"/>
      <c r="J89" s="3"/>
      <c r="K89" s="185">
        <f t="shared" ref="K89" si="39">IF(M88&lt;=0,K87,M87)</f>
        <v>0.171015625</v>
      </c>
      <c r="L89" s="185">
        <f t="shared" si="33"/>
        <v>0.17105859374999999</v>
      </c>
      <c r="M89" s="41">
        <f t="shared" ref="M89" si="40">IF(M88="","",IF(M88=0,M87,IF(L89="",M87*2,(K89+L89)/2)))</f>
        <v>0.171037109375</v>
      </c>
      <c r="N89" s="3"/>
      <c r="O89" s="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"/>
      <c r="AA89" s="3"/>
    </row>
    <row r="90" spans="1:27" x14ac:dyDescent="0.25">
      <c r="A90" s="3"/>
      <c r="B90" s="3"/>
      <c r="C90" s="3"/>
      <c r="D90" s="3"/>
      <c r="E90" s="55"/>
      <c r="F90" s="3"/>
      <c r="G90" s="3"/>
      <c r="H90" s="3"/>
      <c r="I90" s="3"/>
      <c r="J90" s="3"/>
      <c r="K90" s="185"/>
      <c r="L90" s="185"/>
      <c r="M90" s="63">
        <f>IF($M$63=структура!$P$14,"",SUM(O90:Z90))</f>
        <v>-1.7914634240114538</v>
      </c>
      <c r="N90" s="3"/>
      <c r="O90" s="3"/>
      <c r="P90" s="33">
        <f>IF($M$63=структура!$P$14,"",(P$18-P$22-P$12)/POWER(1+$M89,P$1))</f>
        <v>-59776.07322568971</v>
      </c>
      <c r="Q90" s="33">
        <f>IF($M$63=структура!$P$14,"",(Q$18-Q$22-Q$12)/POWER(1+$M89,Q$1))</f>
        <v>-4.2446201542257149E-11</v>
      </c>
      <c r="R90" s="33">
        <f>IF($M$63=структура!$P$14,"",(R$18-R$22-R$12)/POWER(1+$M89,R$1))</f>
        <v>7.2493350044067034E-11</v>
      </c>
      <c r="S90" s="33">
        <f>IF($M$63=структура!$P$14,"",(S$18-S$22-S$12)/POWER(1+$M89,S$1))</f>
        <v>-6.1905254294424389E-11</v>
      </c>
      <c r="T90" s="33">
        <f>IF($M$63=структура!$P$14,"",(T$18-T$22-T$12)/POWER(1+$M89,T$1))</f>
        <v>-28893.489110566232</v>
      </c>
      <c r="U90" s="33">
        <f>IF($M$63=структура!$P$14,"",(U$18-U$22-U$12)/POWER(1+$M89,U$1))</f>
        <v>-9.0285122579040602E-11</v>
      </c>
      <c r="V90" s="33">
        <f>IF($M$63=структура!$P$14,"",(V$18-V$22-V$12)/POWER(1+$M89,V$1))</f>
        <v>3290.7613661333844</v>
      </c>
      <c r="W90" s="33">
        <f>IF($M$63=структура!$P$14,"",(W$18-W$22-W$12)/POWER(1+$M89,W$1))</f>
        <v>11260.093956132489</v>
      </c>
      <c r="X90" s="33">
        <f>IF($M$63=структура!$P$14,"",(X$18-X$22-X$12)/POWER(1+$M89,X$1))</f>
        <v>98195.330007901357</v>
      </c>
      <c r="Y90" s="33">
        <f>IF($M$63=структура!$P$14,"",(Y$18-Y$22-Y$12)/POWER(1+$M89,Y$1))</f>
        <v>-24078.414457335191</v>
      </c>
      <c r="Z90" s="3"/>
      <c r="AA90" s="3"/>
    </row>
    <row r="91" spans="1:27" x14ac:dyDescent="0.25">
      <c r="A91" s="3"/>
      <c r="B91" s="3"/>
      <c r="C91" s="3"/>
      <c r="D91" s="3"/>
      <c r="E91" s="55"/>
      <c r="F91" s="3"/>
      <c r="G91" s="3"/>
      <c r="H91" s="3"/>
      <c r="I91" s="3"/>
      <c r="J91" s="3"/>
      <c r="K91" s="185">
        <f t="shared" ref="K91" si="41">IF(M90&lt;=0,K89,M89)</f>
        <v>0.171015625</v>
      </c>
      <c r="L91" s="185">
        <f t="shared" si="33"/>
        <v>0.171037109375</v>
      </c>
      <c r="M91" s="41">
        <f t="shared" ref="M91" si="42">IF(M90="","",IF(M90=0,M89,IF(L91="",M89*2,(K91+L91)/2)))</f>
        <v>0.1710263671875</v>
      </c>
      <c r="N91" s="3"/>
      <c r="O91" s="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"/>
      <c r="AA91" s="3"/>
    </row>
    <row r="92" spans="1:27" x14ac:dyDescent="0.25">
      <c r="A92" s="3"/>
      <c r="B92" s="3"/>
      <c r="C92" s="3"/>
      <c r="D92" s="3"/>
      <c r="E92" s="55"/>
      <c r="F92" s="3"/>
      <c r="G92" s="3"/>
      <c r="H92" s="3"/>
      <c r="I92" s="3"/>
      <c r="J92" s="3"/>
      <c r="K92" s="185"/>
      <c r="L92" s="185"/>
      <c r="M92" s="63">
        <f>IF($M$63=структура!$P$14,"",SUM(O92:Z92))</f>
        <v>3.2710087136219954</v>
      </c>
      <c r="N92" s="3"/>
      <c r="O92" s="3"/>
      <c r="P92" s="33">
        <f>IF($M$63=структура!$P$14,"",(P$18-P$22-P$12)/POWER(1+$M91,P$1))</f>
        <v>-59776.621570120369</v>
      </c>
      <c r="Q92" s="33">
        <f>IF($M$63=структура!$P$14,"",(Q$18-Q$22-Q$12)/POWER(1+$M91,Q$1))</f>
        <v>-4.2446980290131255E-11</v>
      </c>
      <c r="R92" s="33">
        <f>IF($M$63=структура!$P$14,"",(R$18-R$22-R$12)/POWER(1+$M91,R$1))</f>
        <v>7.2495345074215255E-11</v>
      </c>
      <c r="S92" s="33">
        <f>IF($M$63=структура!$P$14,"",(S$18-S$22-S$12)/POWER(1+$M91,S$1))</f>
        <v>-6.1907525829952206E-11</v>
      </c>
      <c r="T92" s="33">
        <f>IF($M$63=структура!$P$14,"",(T$18-T$22-T$12)/POWER(1+$M91,T$1))</f>
        <v>-28894.814379495758</v>
      </c>
      <c r="U92" s="33">
        <f>IF($M$63=структура!$P$14,"",(U$18-U$22-U$12)/POWER(1+$M91,U$1))</f>
        <v>-9.0290091973332893E-11</v>
      </c>
      <c r="V92" s="33">
        <f>IF($M$63=структура!$P$14,"",(V$18-V$22-V$12)/POWER(1+$M91,V$1))</f>
        <v>3290.9726821601871</v>
      </c>
      <c r="W92" s="33">
        <f>IF($M$63=структура!$P$14,"",(W$18-W$22-W$12)/POWER(1+$M91,W$1))</f>
        <v>11260.92032129423</v>
      </c>
      <c r="X92" s="33">
        <f>IF($M$63=структура!$P$14,"",(X$18-X$22-X$12)/POWER(1+$M91,X$1))</f>
        <v>98203.437290913629</v>
      </c>
      <c r="Y92" s="33">
        <f>IF($M$63=структура!$P$14,"",(Y$18-Y$22-Y$12)/POWER(1+$M91,Y$1))</f>
        <v>-24080.623336038159</v>
      </c>
      <c r="Z92" s="3"/>
      <c r="AA92" s="3"/>
    </row>
    <row r="93" spans="1:27" x14ac:dyDescent="0.25">
      <c r="A93" s="3"/>
      <c r="B93" s="3"/>
      <c r="C93" s="3"/>
      <c r="D93" s="3"/>
      <c r="E93" s="55"/>
      <c r="F93" s="3"/>
      <c r="G93" s="3"/>
      <c r="H93" s="3"/>
      <c r="I93" s="3"/>
      <c r="J93" s="3"/>
      <c r="K93" s="185">
        <f t="shared" ref="K93" si="43">IF(M92&lt;=0,K91,M91)</f>
        <v>0.1710263671875</v>
      </c>
      <c r="L93" s="185">
        <f t="shared" si="33"/>
        <v>0.171037109375</v>
      </c>
      <c r="M93" s="41">
        <f t="shared" ref="M93" si="44">IF(M92="","",IF(M92=0,M91,IF(L93="",M91*2,(K93+L93)/2)))</f>
        <v>0.17103173828125001</v>
      </c>
      <c r="N93" s="3"/>
      <c r="O93" s="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"/>
      <c r="AA93" s="3"/>
    </row>
    <row r="94" spans="1:27" x14ac:dyDescent="0.25">
      <c r="A94" s="3"/>
      <c r="B94" s="3"/>
      <c r="C94" s="3"/>
      <c r="D94" s="3"/>
      <c r="E94" s="55"/>
      <c r="F94" s="3"/>
      <c r="G94" s="3"/>
      <c r="H94" s="3"/>
      <c r="I94" s="3"/>
      <c r="J94" s="3"/>
      <c r="K94" s="185"/>
      <c r="L94" s="185"/>
      <c r="M94" s="63">
        <f>IF($M$63=структура!$P$14,"",SUM(O94:Z94))</f>
        <v>0.73970745189217268</v>
      </c>
      <c r="N94" s="3"/>
      <c r="O94" s="3"/>
      <c r="P94" s="33">
        <f>IF($M$63=структура!$P$14,"",(P$18-P$22-P$12)/POWER(1+$M93,P$1))</f>
        <v>-59776.347396647514</v>
      </c>
      <c r="Q94" s="33">
        <f>IF($M$63=структура!$P$14,"",(Q$18-Q$22-Q$12)/POWER(1+$M93,Q$1))</f>
        <v>-4.2446590913515329E-11</v>
      </c>
      <c r="R94" s="33">
        <f>IF($M$63=структура!$P$14,"",(R$18-R$22-R$12)/POWER(1+$M93,R$1))</f>
        <v>7.2494347549990666E-11</v>
      </c>
      <c r="S94" s="33">
        <f>IF($M$63=структура!$P$14,"",(S$18-S$22-S$12)/POWER(1+$M93,S$1))</f>
        <v>-6.1906390049164907E-11</v>
      </c>
      <c r="T94" s="33">
        <f>IF($M$63=структура!$P$14,"",(T$18-T$22-T$12)/POWER(1+$M93,T$1))</f>
        <v>-28894.151735913209</v>
      </c>
      <c r="U94" s="33">
        <f>IF($M$63=структура!$P$14,"",(U$18-U$22-U$12)/POWER(1+$M93,U$1))</f>
        <v>-9.0287607236299342E-11</v>
      </c>
      <c r="V94" s="33">
        <f>IF($M$63=структура!$P$14,"",(V$18-V$22-V$12)/POWER(1+$M93,V$1))</f>
        <v>3290.8670222083269</v>
      </c>
      <c r="W94" s="33">
        <f>IF($M$63=структура!$P$14,"",(W$18-W$22-W$12)/POWER(1+$M93,W$1))</f>
        <v>11260.50713018533</v>
      </c>
      <c r="X94" s="33">
        <f>IF($M$63=структура!$P$14,"",(X$18-X$22-X$12)/POWER(1+$M93,X$1))</f>
        <v>98199.38355644462</v>
      </c>
      <c r="Y94" s="33">
        <f>IF($M$63=структура!$P$14,"",(Y$18-Y$22-Y$12)/POWER(1+$M93,Y$1))</f>
        <v>-24079.518868825548</v>
      </c>
      <c r="Z94" s="3"/>
      <c r="AA94" s="3"/>
    </row>
    <row r="95" spans="1:27" x14ac:dyDescent="0.25">
      <c r="A95" s="3"/>
      <c r="B95" s="3"/>
      <c r="C95" s="3"/>
      <c r="D95" s="3"/>
      <c r="E95" s="55"/>
      <c r="F95" s="3"/>
      <c r="G95" s="3"/>
      <c r="H95" s="3"/>
      <c r="I95" s="3"/>
      <c r="J95" s="3"/>
      <c r="K95" s="185">
        <f t="shared" ref="K95" si="45">IF(M94&lt;=0,K93,M93)</f>
        <v>0.17103173828125001</v>
      </c>
      <c r="L95" s="185">
        <f t="shared" si="33"/>
        <v>0.171037109375</v>
      </c>
      <c r="M95" s="41">
        <f t="shared" ref="M95" si="46">IF(M94="","",IF(M94=0,M93,IF(L95="",M93*2,(K95+L95)/2)))</f>
        <v>0.171034423828125</v>
      </c>
      <c r="N95" s="3"/>
      <c r="O95" s="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"/>
      <c r="AA95" s="3"/>
    </row>
    <row r="96" spans="1:27" x14ac:dyDescent="0.25">
      <c r="A96" s="3"/>
      <c r="B96" s="3"/>
      <c r="C96" s="3"/>
      <c r="D96" s="3"/>
      <c r="E96" s="55"/>
      <c r="F96" s="3"/>
      <c r="G96" s="3"/>
      <c r="H96" s="3"/>
      <c r="I96" s="3"/>
      <c r="J96" s="3"/>
      <c r="K96" s="185"/>
      <c r="L96" s="185"/>
      <c r="M96" s="63">
        <f>IF($M$63=структура!$P$14,"",SUM(O96:Z96))</f>
        <v>-0.52589428385908832</v>
      </c>
      <c r="N96" s="3"/>
      <c r="O96" s="3"/>
      <c r="P96" s="33">
        <f>IF($M$63=структура!$P$14,"",(P$18-P$22-P$12)/POWER(1+$M95,P$1))</f>
        <v>-59776.210310854236</v>
      </c>
      <c r="Q96" s="33">
        <f>IF($M$63=структура!$P$14,"",(Q$18-Q$22-Q$12)/POWER(1+$M95,Q$1))</f>
        <v>-4.244639622721653E-11</v>
      </c>
      <c r="R96" s="33">
        <f>IF($M$63=структура!$P$14,"",(R$18-R$22-R$12)/POWER(1+$M95,R$1))</f>
        <v>7.2493848794741275E-11</v>
      </c>
      <c r="S96" s="33">
        <f>IF($M$63=структура!$P$14,"",(S$18-S$22-S$12)/POWER(1+$M95,S$1))</f>
        <v>-6.1905822168538865E-11</v>
      </c>
      <c r="T96" s="33">
        <f>IF($M$63=структура!$P$14,"",(T$18-T$22-T$12)/POWER(1+$M95,T$1))</f>
        <v>-28893.820420960321</v>
      </c>
      <c r="U96" s="33">
        <f>IF($M$63=структура!$P$14,"",(U$18-U$22-U$12)/POWER(1+$M95,U$1))</f>
        <v>-9.0286364897698342E-11</v>
      </c>
      <c r="V96" s="33">
        <f>IF($M$63=структура!$P$14,"",(V$18-V$22-V$12)/POWER(1+$M95,V$1))</f>
        <v>3290.8141936862521</v>
      </c>
      <c r="W96" s="33">
        <f>IF($M$63=структура!$P$14,"",(W$18-W$22-W$12)/POWER(1+$M95,W$1))</f>
        <v>11260.300541026954</v>
      </c>
      <c r="X96" s="33">
        <f>IF($M$63=структура!$P$14,"",(X$18-X$22-X$12)/POWER(1+$M95,X$1))</f>
        <v>98197.356758932903</v>
      </c>
      <c r="Y96" s="33">
        <f>IF($M$63=структура!$P$14,"",(Y$18-Y$22-Y$12)/POWER(1+$M95,Y$1))</f>
        <v>-24078.966656115288</v>
      </c>
      <c r="Z96" s="3"/>
      <c r="AA96" s="3"/>
    </row>
    <row r="97" spans="1:27" x14ac:dyDescent="0.25">
      <c r="A97" s="3"/>
      <c r="B97" s="3"/>
      <c r="C97" s="3"/>
      <c r="D97" s="3"/>
      <c r="E97" s="55"/>
      <c r="F97" s="3"/>
      <c r="G97" s="3"/>
      <c r="H97" s="3"/>
      <c r="I97" s="3"/>
      <c r="J97" s="3"/>
      <c r="K97" s="185">
        <f t="shared" ref="K97" si="47">IF(M96&lt;=0,K95,M95)</f>
        <v>0.17103173828125001</v>
      </c>
      <c r="L97" s="185">
        <f t="shared" si="33"/>
        <v>0.171034423828125</v>
      </c>
      <c r="M97" s="41">
        <f t="shared" ref="M97" si="48">IF(M96="","",IF(M96=0,M95,IF(L97="",M95*2,(K97+L97)/2)))</f>
        <v>0.17103308105468751</v>
      </c>
      <c r="N97" s="3"/>
      <c r="O97" s="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"/>
      <c r="AA97" s="3"/>
    </row>
    <row r="98" spans="1:27" x14ac:dyDescent="0.25">
      <c r="A98" s="3"/>
      <c r="B98" s="3"/>
      <c r="C98" s="3"/>
      <c r="D98" s="3"/>
      <c r="E98" s="55"/>
      <c r="F98" s="3"/>
      <c r="G98" s="3"/>
      <c r="H98" s="3"/>
      <c r="I98" s="3"/>
      <c r="J98" s="3"/>
      <c r="K98" s="185"/>
      <c r="L98" s="185"/>
      <c r="M98" s="63">
        <f>IF($M$63=структура!$P$14,"",SUM(O98:Z98))</f>
        <v>0.10690250959669356</v>
      </c>
      <c r="N98" s="3"/>
      <c r="O98" s="3"/>
      <c r="P98" s="33">
        <f>IF($M$63=структура!$P$14,"",(P$18-P$22-P$12)/POWER(1+$M97,P$1))</f>
        <v>-59776.278853672287</v>
      </c>
      <c r="Q98" s="33">
        <f>IF($M$63=структура!$P$14,"",(Q$18-Q$22-Q$12)/POWER(1+$M97,Q$1))</f>
        <v>-4.2446493570198516E-11</v>
      </c>
      <c r="R98" s="33">
        <f>IF($M$63=структура!$P$14,"",(R$18-R$22-R$12)/POWER(1+$M97,R$1))</f>
        <v>7.2494098171794104E-11</v>
      </c>
      <c r="S98" s="33">
        <f>IF($M$63=структура!$P$14,"",(S$18-S$22-S$12)/POWER(1+$M97,S$1))</f>
        <v>-6.1906106108037966E-11</v>
      </c>
      <c r="T98" s="33">
        <f>IF($M$63=структура!$P$14,"",(T$18-T$22-T$12)/POWER(1+$M97,T$1))</f>
        <v>-28893.986077866924</v>
      </c>
      <c r="U98" s="33">
        <f>IF($M$63=структура!$P$14,"",(U$18-U$22-U$12)/POWER(1+$M97,U$1))</f>
        <v>-9.0286986064505985E-11</v>
      </c>
      <c r="V98" s="33">
        <f>IF($M$63=структура!$P$14,"",(V$18-V$22-V$12)/POWER(1+$M97,V$1))</f>
        <v>3290.8406078261401</v>
      </c>
      <c r="W98" s="33">
        <f>IF($M$63=структура!$P$14,"",(W$18-W$22-W$12)/POWER(1+$M97,W$1))</f>
        <v>11260.403835073159</v>
      </c>
      <c r="X98" s="33">
        <f>IF($M$63=структура!$P$14,"",(X$18-X$22-X$12)/POWER(1+$M97,X$1))</f>
        <v>98198.370151878786</v>
      </c>
      <c r="Y98" s="33">
        <f>IF($M$63=структура!$P$14,"",(Y$18-Y$22-Y$12)/POWER(1+$M97,Y$1))</f>
        <v>-24079.242760729157</v>
      </c>
      <c r="Z98" s="3"/>
      <c r="AA98" s="3"/>
    </row>
    <row r="99" spans="1:27" x14ac:dyDescent="0.25">
      <c r="A99" s="3"/>
      <c r="B99" s="3"/>
      <c r="C99" s="3"/>
      <c r="D99" s="3"/>
      <c r="E99" s="55"/>
      <c r="F99" s="3"/>
      <c r="G99" s="3"/>
      <c r="H99" s="3"/>
      <c r="I99" s="3"/>
      <c r="J99" s="3"/>
      <c r="K99" s="185">
        <f t="shared" ref="K99" si="49">IF(M98&lt;=0,K97,M97)</f>
        <v>0.17103308105468751</v>
      </c>
      <c r="L99" s="185">
        <f t="shared" si="33"/>
        <v>0.171034423828125</v>
      </c>
      <c r="M99" s="41">
        <f t="shared" ref="M99" si="50">IF(M98="","",IF(M98=0,M97,IF(L99="",M97*2,(K99+L99)/2)))</f>
        <v>0.17103375244140626</v>
      </c>
      <c r="N99" s="3"/>
      <c r="O99" s="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"/>
      <c r="AA99" s="3"/>
    </row>
    <row r="100" spans="1:27" x14ac:dyDescent="0.25">
      <c r="A100" s="3"/>
      <c r="B100" s="3"/>
      <c r="C100" s="3"/>
      <c r="D100" s="3"/>
      <c r="E100" s="55"/>
      <c r="F100" s="3"/>
      <c r="G100" s="3"/>
      <c r="H100" s="3"/>
      <c r="I100" s="3"/>
      <c r="J100" s="3"/>
      <c r="K100" s="185"/>
      <c r="L100" s="185"/>
      <c r="M100" s="63">
        <f>IF($M$63=структура!$P$14,"",SUM(O100:Z100))</f>
        <v>-0.20949690579436719</v>
      </c>
      <c r="N100" s="3"/>
      <c r="O100" s="3"/>
      <c r="P100" s="33">
        <f>IF($M$63=структура!$P$14,"",(P$18-P$22-P$12)/POWER(1+$M99,P$1))</f>
        <v>-59776.244582243606</v>
      </c>
      <c r="Q100" s="33">
        <f>IF($M$63=структура!$P$14,"",(Q$18-Q$22-Q$12)/POWER(1+$M99,Q$1))</f>
        <v>-4.244644489866566E-11</v>
      </c>
      <c r="R100" s="33">
        <f>IF($M$63=структура!$P$14,"",(R$18-R$22-R$12)/POWER(1+$M99,R$1))</f>
        <v>7.2493973483124698E-11</v>
      </c>
      <c r="S100" s="33">
        <f>IF($M$63=структура!$P$14,"",(S$18-S$22-S$12)/POWER(1+$M99,S$1))</f>
        <v>-6.190596413808491E-11</v>
      </c>
      <c r="T100" s="33">
        <f>IF($M$63=структура!$P$14,"",(T$18-T$22-T$12)/POWER(1+$M99,T$1))</f>
        <v>-28893.903249271149</v>
      </c>
      <c r="U100" s="33">
        <f>IF($M$63=структура!$P$14,"",(U$18-U$22-U$12)/POWER(1+$M99,U$1))</f>
        <v>-9.0286675480478889E-11</v>
      </c>
      <c r="V100" s="33">
        <f>IF($M$63=структура!$P$14,"",(V$18-V$22-V$12)/POWER(1+$M99,V$1))</f>
        <v>3290.8274007259065</v>
      </c>
      <c r="W100" s="33">
        <f>IF($M$63=структура!$P$14,"",(W$18-W$22-W$12)/POWER(1+$M99,W$1))</f>
        <v>11260.352187916804</v>
      </c>
      <c r="X100" s="33">
        <f>IF($M$63=структура!$P$14,"",(X$18-X$22-X$12)/POWER(1+$M99,X$1))</f>
        <v>98197.86345395328</v>
      </c>
      <c r="Y100" s="33">
        <f>IF($M$63=структура!$P$14,"",(Y$18-Y$22-Y$12)/POWER(1+$M99,Y$1))</f>
        <v>-24079.104707986888</v>
      </c>
      <c r="Z100" s="3"/>
      <c r="AA100" s="3"/>
    </row>
    <row r="101" spans="1:27" x14ac:dyDescent="0.25">
      <c r="A101" s="3"/>
      <c r="B101" s="3"/>
      <c r="C101" s="3"/>
      <c r="D101" s="3"/>
      <c r="E101" s="55"/>
      <c r="F101" s="3"/>
      <c r="G101" s="3"/>
      <c r="H101" s="3"/>
      <c r="I101" s="3"/>
      <c r="J101" s="3"/>
      <c r="K101" s="185">
        <f t="shared" ref="K101" si="51">IF(M100&lt;=0,K99,M99)</f>
        <v>0.17103308105468751</v>
      </c>
      <c r="L101" s="185">
        <f t="shared" si="33"/>
        <v>0.17103375244140626</v>
      </c>
      <c r="M101" s="41">
        <f t="shared" ref="M101" si="52">IF(M100="","",IF(M100=0,M99,IF(L101="",M99*2,(K101+L101)/2)))</f>
        <v>0.1710334167480469</v>
      </c>
      <c r="N101" s="3"/>
      <c r="O101" s="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"/>
      <c r="AA101" s="3"/>
    </row>
    <row r="102" spans="1:27" x14ac:dyDescent="0.25">
      <c r="A102" s="3"/>
      <c r="B102" s="3"/>
      <c r="C102" s="3"/>
      <c r="D102" s="3"/>
      <c r="E102" s="55"/>
      <c r="F102" s="3"/>
      <c r="G102" s="3"/>
      <c r="H102" s="3"/>
      <c r="I102" s="3"/>
      <c r="J102" s="3"/>
      <c r="K102" s="185"/>
      <c r="L102" s="185"/>
      <c r="M102" s="63">
        <f>IF($M$63=структура!$P$14,"",SUM(O102:Z102))</f>
        <v>-5.1297452831931878E-2</v>
      </c>
      <c r="N102" s="3"/>
      <c r="O102" s="3"/>
      <c r="P102" s="33">
        <f>IF($M$63=структура!$P$14,"",(P$18-P$22-P$12)/POWER(1+$M101,P$1))</f>
        <v>-59776.261717953028</v>
      </c>
      <c r="Q102" s="33">
        <f>IF($M$63=структура!$P$14,"",(Q$18-Q$22-Q$12)/POWER(1+$M101,Q$1))</f>
        <v>-4.2446469234421612E-11</v>
      </c>
      <c r="R102" s="33">
        <f>IF($M$63=структура!$P$14,"",(R$18-R$22-R$12)/POWER(1+$M101,R$1))</f>
        <v>7.2494035827423632E-11</v>
      </c>
      <c r="S102" s="33">
        <f>IF($M$63=структура!$P$14,"",(S$18-S$22-S$12)/POWER(1+$M101,S$1))</f>
        <v>-6.1906035123010534E-11</v>
      </c>
      <c r="T102" s="33">
        <f>IF($M$63=структура!$P$14,"",(T$18-T$22-T$12)/POWER(1+$M101,T$1))</f>
        <v>-28893.944663533406</v>
      </c>
      <c r="U102" s="33">
        <f>IF($M$63=структура!$P$14,"",(U$18-U$22-U$12)/POWER(1+$M101,U$1))</f>
        <v>-9.0286830772336559E-11</v>
      </c>
      <c r="V102" s="33">
        <f>IF($M$63=структура!$P$14,"",(V$18-V$22-V$12)/POWER(1+$M101,V$1))</f>
        <v>3290.8340042684486</v>
      </c>
      <c r="W102" s="33">
        <f>IF($M$63=структура!$P$14,"",(W$18-W$22-W$12)/POWER(1+$M101,W$1))</f>
        <v>11260.378011461658</v>
      </c>
      <c r="X102" s="33">
        <f>IF($M$63=структура!$P$14,"",(X$18-X$22-X$12)/POWER(1+$M101,X$1))</f>
        <v>98198.116802552788</v>
      </c>
      <c r="Y102" s="33">
        <f>IF($M$63=структура!$P$14,"",(Y$18-Y$22-Y$12)/POWER(1+$M101,Y$1))</f>
        <v>-24079.173734249161</v>
      </c>
      <c r="Z102" s="3"/>
      <c r="AA102" s="3"/>
    </row>
    <row r="103" spans="1:27" x14ac:dyDescent="0.25">
      <c r="A103" s="3"/>
      <c r="B103" s="3"/>
      <c r="C103" s="3"/>
      <c r="D103" s="3"/>
      <c r="E103" s="55"/>
      <c r="F103" s="3"/>
      <c r="G103" s="3"/>
      <c r="H103" s="3"/>
      <c r="I103" s="3"/>
      <c r="J103" s="3"/>
      <c r="K103" s="185">
        <f t="shared" ref="K103" si="53">IF(M102&lt;=0,K101,M101)</f>
        <v>0.17103308105468751</v>
      </c>
      <c r="L103" s="185">
        <f t="shared" si="33"/>
        <v>0.1710334167480469</v>
      </c>
      <c r="M103" s="41">
        <f t="shared" ref="M103" si="54">IF(M102="","",IF(M102=0,M101,IF(L103="",M101*2,(K103+L103)/2)))</f>
        <v>0.1710332489013672</v>
      </c>
      <c r="N103" s="3"/>
      <c r="O103" s="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"/>
      <c r="AA103" s="3"/>
    </row>
    <row r="104" spans="1:27" x14ac:dyDescent="0.25">
      <c r="A104" s="3"/>
      <c r="B104" s="3"/>
      <c r="C104" s="3"/>
      <c r="D104" s="3"/>
      <c r="E104" s="55"/>
      <c r="F104" s="3"/>
      <c r="G104" s="3"/>
      <c r="H104" s="3"/>
      <c r="I104" s="3"/>
      <c r="J104" s="3"/>
      <c r="K104" s="185"/>
      <c r="L104" s="185"/>
      <c r="M104" s="63">
        <f>IF($M$63=структура!$P$14,"",SUM(O104:Z104))</f>
        <v>2.780246465044911E-2</v>
      </c>
      <c r="N104" s="3"/>
      <c r="O104" s="3"/>
      <c r="P104" s="33">
        <f>IF($M$63=структура!$P$14,"",(P$18-P$22-P$12)/POWER(1+$M103,P$1))</f>
        <v>-59776.270285811421</v>
      </c>
      <c r="Q104" s="33">
        <f>IF($M$63=структура!$P$14,"",(Q$18-Q$22-Q$12)/POWER(1+$M103,Q$1))</f>
        <v>-4.2446481402307437E-11</v>
      </c>
      <c r="R104" s="33">
        <f>IF($M$63=структура!$P$14,"",(R$18-R$22-R$12)/POWER(1+$M103,R$1))</f>
        <v>7.2494066999599905E-11</v>
      </c>
      <c r="S104" s="33">
        <f>IF($M$63=структура!$P$14,"",(S$18-S$22-S$12)/POWER(1+$M103,S$1))</f>
        <v>-6.1906070615511507E-11</v>
      </c>
      <c r="T104" s="33">
        <f>IF($M$63=структура!$P$14,"",(T$18-T$22-T$12)/POWER(1+$M103,T$1))</f>
        <v>-28893.965370691247</v>
      </c>
      <c r="U104" s="33">
        <f>IF($M$63=структура!$P$14,"",(U$18-U$22-U$12)/POWER(1+$M103,U$1))</f>
        <v>-9.0286908418382245E-11</v>
      </c>
      <c r="V104" s="33">
        <f>IF($M$63=структура!$P$14,"",(V$18-V$22-V$12)/POWER(1+$M103,V$1))</f>
        <v>3290.8373060453991</v>
      </c>
      <c r="W104" s="33">
        <f>IF($M$63=структура!$P$14,"",(W$18-W$22-W$12)/POWER(1+$M103,W$1))</f>
        <v>11260.39092325907</v>
      </c>
      <c r="X104" s="33">
        <f>IF($M$63=структура!$P$14,"",(X$18-X$22-X$12)/POWER(1+$M103,X$1))</f>
        <v>98198.243477124895</v>
      </c>
      <c r="Y104" s="33">
        <f>IF($M$63=структура!$P$14,"",(Y$18-Y$22-Y$12)/POWER(1+$M103,Y$1))</f>
        <v>-24079.208247461927</v>
      </c>
      <c r="Z104" s="3"/>
      <c r="AA104" s="3"/>
    </row>
    <row r="105" spans="1:27" x14ac:dyDescent="0.25">
      <c r="A105" s="3"/>
      <c r="B105" s="3"/>
      <c r="C105" s="3"/>
      <c r="D105" s="3"/>
      <c r="E105" s="55"/>
      <c r="F105" s="3"/>
      <c r="G105" s="3"/>
      <c r="H105" s="3"/>
      <c r="I105" s="3"/>
      <c r="J105" s="3"/>
      <c r="K105" s="185">
        <f t="shared" ref="K105" si="55">IF(M104&lt;=0,K103,M103)</f>
        <v>0.1710332489013672</v>
      </c>
      <c r="L105" s="185">
        <f t="shared" si="33"/>
        <v>0.1710334167480469</v>
      </c>
      <c r="M105" s="41">
        <f t="shared" ref="M105" si="56">IF(M104="","",IF(M104=0,M103,IF(L105="",M103*2,(K105+L105)/2)))</f>
        <v>0.17103333282470706</v>
      </c>
      <c r="N105" s="3"/>
      <c r="O105" s="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"/>
      <c r="AA105" s="3"/>
    </row>
    <row r="106" spans="1:27" x14ac:dyDescent="0.25">
      <c r="A106" s="3"/>
      <c r="B106" s="3"/>
      <c r="C106" s="3"/>
      <c r="D106" s="3"/>
      <c r="E106" s="55"/>
      <c r="F106" s="3"/>
      <c r="G106" s="3"/>
      <c r="H106" s="3"/>
      <c r="I106" s="3"/>
      <c r="J106" s="3"/>
      <c r="K106" s="185"/>
      <c r="L106" s="185"/>
      <c r="M106" s="63">
        <f>IF($M$63=структура!$P$14,"",SUM(O106:Z106))</f>
        <v>-1.1747509994165739E-2</v>
      </c>
      <c r="N106" s="3"/>
      <c r="O106" s="3"/>
      <c r="P106" s="33">
        <f>IF($M$63=структура!$P$14,"",(P$18-P$22-P$12)/POWER(1+$M105,P$1))</f>
        <v>-59776.266001881922</v>
      </c>
      <c r="Q106" s="33">
        <f>IF($M$63=структура!$P$14,"",(Q$18-Q$22-Q$12)/POWER(1+$M105,Q$1))</f>
        <v>-4.2446475318363872E-11</v>
      </c>
      <c r="R106" s="33">
        <f>IF($M$63=структура!$P$14,"",(R$18-R$22-R$12)/POWER(1+$M105,R$1))</f>
        <v>7.2494051413509532E-11</v>
      </c>
      <c r="S106" s="33">
        <f>IF($M$63=структура!$P$14,"",(S$18-S$22-S$12)/POWER(1+$M105,S$1))</f>
        <v>-6.1906052869257847E-11</v>
      </c>
      <c r="T106" s="33">
        <f>IF($M$63=структура!$P$14,"",(T$18-T$22-T$12)/POWER(1+$M105,T$1))</f>
        <v>-28893.9550171101</v>
      </c>
      <c r="U106" s="33">
        <f>IF($M$63=структура!$P$14,"",(U$18-U$22-U$12)/POWER(1+$M105,U$1))</f>
        <v>-9.0286869595349663E-11</v>
      </c>
      <c r="V106" s="33">
        <f>IF($M$63=структура!$P$14,"",(V$18-V$22-V$12)/POWER(1+$M105,V$1))</f>
        <v>3290.8356551564511</v>
      </c>
      <c r="W106" s="33">
        <f>IF($M$63=структура!$P$14,"",(W$18-W$22-W$12)/POWER(1+$M105,W$1))</f>
        <v>11260.384467358283</v>
      </c>
      <c r="X106" s="33">
        <f>IF($M$63=структура!$P$14,"",(X$18-X$22-X$12)/POWER(1+$M105,X$1))</f>
        <v>98198.180139816162</v>
      </c>
      <c r="Y106" s="33">
        <f>IF($M$63=структура!$P$14,"",(Y$18-Y$22-Y$12)/POWER(1+$M105,Y$1))</f>
        <v>-24079.19099084874</v>
      </c>
      <c r="Z106" s="3"/>
      <c r="AA106" s="3"/>
    </row>
    <row r="107" spans="1:27" x14ac:dyDescent="0.25">
      <c r="A107" s="3"/>
      <c r="B107" s="3"/>
      <c r="C107" s="3"/>
      <c r="D107" s="3"/>
      <c r="E107" s="55"/>
      <c r="F107" s="3"/>
      <c r="G107" s="3"/>
      <c r="H107" s="3"/>
      <c r="I107" s="3"/>
      <c r="J107" s="3"/>
      <c r="K107" s="185">
        <f t="shared" ref="K107" si="57">IF(M106&lt;=0,K105,M105)</f>
        <v>0.1710332489013672</v>
      </c>
      <c r="L107" s="185">
        <f t="shared" si="33"/>
        <v>0.17103333282470706</v>
      </c>
      <c r="M107" s="41">
        <f t="shared" ref="M107" si="58">IF(M106="","",IF(M106=0,M105,IF(L107="",M105*2,(K107+L107)/2)))</f>
        <v>0.17103329086303715</v>
      </c>
      <c r="N107" s="3"/>
      <c r="O107" s="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"/>
      <c r="AA107" s="3"/>
    </row>
    <row r="108" spans="1:27" x14ac:dyDescent="0.25">
      <c r="A108" s="3"/>
      <c r="B108" s="3"/>
      <c r="C108" s="3"/>
      <c r="D108" s="3"/>
      <c r="E108" s="55"/>
      <c r="F108" s="3"/>
      <c r="G108" s="3"/>
      <c r="H108" s="3"/>
      <c r="I108" s="3"/>
      <c r="J108" s="3"/>
      <c r="K108" s="185"/>
      <c r="L108" s="185"/>
      <c r="M108" s="63">
        <f>IF($M$63=структура!$P$14,"",SUM(O108:Z108))</f>
        <v>8.0274733809346799E-3</v>
      </c>
      <c r="N108" s="3"/>
      <c r="O108" s="3"/>
      <c r="P108" s="33">
        <f>IF($M$63=структура!$P$14,"",(P$18-P$22-P$12)/POWER(1+$M107,P$1))</f>
        <v>-59776.268143846595</v>
      </c>
      <c r="Q108" s="33">
        <f>IF($M$63=структура!$P$14,"",(Q$18-Q$22-Q$12)/POWER(1+$M107,Q$1))</f>
        <v>-4.2446478360335496E-11</v>
      </c>
      <c r="R108" s="33">
        <f>IF($M$63=структура!$P$14,"",(R$18-R$22-R$12)/POWER(1+$M107,R$1))</f>
        <v>7.2494059206554169E-11</v>
      </c>
      <c r="S108" s="33">
        <f>IF($M$63=структура!$P$14,"",(S$18-S$22-S$12)/POWER(1+$M107,S$1))</f>
        <v>-6.1906061742383889E-11</v>
      </c>
      <c r="T108" s="33">
        <f>IF($M$63=структура!$P$14,"",(T$18-T$22-T$12)/POWER(1+$M107,T$1))</f>
        <v>-28893.960193900122</v>
      </c>
      <c r="U108" s="33">
        <f>IF($M$63=структура!$P$14,"",(U$18-U$22-U$12)/POWER(1+$M107,U$1))</f>
        <v>-9.0286889006863557E-11</v>
      </c>
      <c r="V108" s="33">
        <f>IF($M$63=структура!$P$14,"",(V$18-V$22-V$12)/POWER(1+$M107,V$1))</f>
        <v>3290.8364806008071</v>
      </c>
      <c r="W108" s="33">
        <f>IF($M$63=структура!$P$14,"",(W$18-W$22-W$12)/POWER(1+$M107,W$1))</f>
        <v>11260.38769530816</v>
      </c>
      <c r="X108" s="33">
        <f>IF($M$63=структура!$P$14,"",(X$18-X$22-X$12)/POWER(1+$M107,X$1))</f>
        <v>98198.211808464897</v>
      </c>
      <c r="Y108" s="33">
        <f>IF($M$63=структура!$P$14,"",(Y$18-Y$22-Y$12)/POWER(1+$M107,Y$1))</f>
        <v>-24079.199619153642</v>
      </c>
      <c r="Z108" s="3"/>
      <c r="AA108" s="3"/>
    </row>
    <row r="109" spans="1:27" x14ac:dyDescent="0.25">
      <c r="A109" s="3"/>
      <c r="B109" s="3"/>
      <c r="C109" s="3"/>
      <c r="D109" s="3"/>
      <c r="E109" s="55"/>
      <c r="F109" s="3"/>
      <c r="G109" s="3"/>
      <c r="H109" s="3"/>
      <c r="I109" s="3"/>
      <c r="J109" s="3"/>
      <c r="K109" s="185">
        <f t="shared" ref="K109" si="59">IF(M108&lt;=0,K107,M107)</f>
        <v>0.17103329086303715</v>
      </c>
      <c r="L109" s="185">
        <f t="shared" si="33"/>
        <v>0.17103333282470706</v>
      </c>
      <c r="M109" s="41">
        <f t="shared" ref="M109" si="60">IF(M108="","",IF(M108=0,M107,IF(L109="",M107*2,(K109+L109)/2)))</f>
        <v>0.1710333118438721</v>
      </c>
      <c r="N109" s="3"/>
      <c r="O109" s="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"/>
      <c r="AA109" s="3"/>
    </row>
    <row r="110" spans="1:27" x14ac:dyDescent="0.25">
      <c r="A110" s="3"/>
      <c r="B110" s="3"/>
      <c r="C110" s="3"/>
      <c r="D110" s="3"/>
      <c r="E110" s="55"/>
      <c r="F110" s="3"/>
      <c r="G110" s="3"/>
      <c r="H110" s="3"/>
      <c r="I110" s="3"/>
      <c r="J110" s="3"/>
      <c r="K110" s="185"/>
      <c r="L110" s="185"/>
      <c r="M110" s="63">
        <f>IF($M$63=структура!$P$14,"",SUM(O110:Z110))</f>
        <v>-1.8600192488520406E-3</v>
      </c>
      <c r="N110" s="3"/>
      <c r="O110" s="3"/>
      <c r="P110" s="33">
        <f>IF($M$63=структура!$P$14,"",(P$18-P$22-P$12)/POWER(1+$M109,P$1))</f>
        <v>-59776.267072864241</v>
      </c>
      <c r="Q110" s="33">
        <f>IF($M$63=структура!$P$14,"",(Q$18-Q$22-Q$12)/POWER(1+$M109,Q$1))</f>
        <v>-4.2446476839349649E-11</v>
      </c>
      <c r="R110" s="33">
        <f>IF($M$63=структура!$P$14,"",(R$18-R$22-R$12)/POWER(1+$M109,R$1))</f>
        <v>7.2494055310031735E-11</v>
      </c>
      <c r="S110" s="33">
        <f>IF($M$63=структура!$P$14,"",(S$18-S$22-S$12)/POWER(1+$M109,S$1))</f>
        <v>-6.1906057305820694E-11</v>
      </c>
      <c r="T110" s="33">
        <f>IF($M$63=структура!$P$14,"",(T$18-T$22-T$12)/POWER(1+$M109,T$1))</f>
        <v>-28893.957605504991</v>
      </c>
      <c r="U110" s="33">
        <f>IF($M$63=структура!$P$14,"",(U$18-U$22-U$12)/POWER(1+$M109,U$1))</f>
        <v>-9.0286879301106067E-11</v>
      </c>
      <c r="V110" s="33">
        <f>IF($M$63=структура!$P$14,"",(V$18-V$22-V$12)/POWER(1+$M109,V$1))</f>
        <v>3290.8360678786021</v>
      </c>
      <c r="W110" s="33">
        <f>IF($M$63=структура!$P$14,"",(W$18-W$22-W$12)/POWER(1+$M109,W$1))</f>
        <v>11260.386081333103</v>
      </c>
      <c r="X110" s="33">
        <f>IF($M$63=структура!$P$14,"",(X$18-X$22-X$12)/POWER(1+$M109,X$1))</f>
        <v>98198.195974139206</v>
      </c>
      <c r="Y110" s="33">
        <f>IF($M$63=структура!$P$14,"",(Y$18-Y$22-Y$12)/POWER(1+$M109,Y$1))</f>
        <v>-24079.195305000794</v>
      </c>
      <c r="Z110" s="3"/>
      <c r="AA110" s="3"/>
    </row>
    <row r="111" spans="1:27" x14ac:dyDescent="0.25">
      <c r="A111" s="3"/>
      <c r="B111" s="3"/>
      <c r="C111" s="3"/>
      <c r="D111" s="3"/>
      <c r="E111" s="55"/>
      <c r="F111" s="3"/>
      <c r="G111" s="3"/>
      <c r="H111" s="3"/>
      <c r="I111" s="3"/>
      <c r="J111" s="3"/>
      <c r="K111" s="185">
        <f t="shared" ref="K111" si="61">IF(M110&lt;=0,K109,M109)</f>
        <v>0.17103329086303715</v>
      </c>
      <c r="L111" s="185">
        <f t="shared" si="33"/>
        <v>0.1710333118438721</v>
      </c>
      <c r="M111" s="41">
        <f t="shared" ref="M111" si="62">IF(M110="","",IF(M110=0,M109,IF(L111="",M109*2,(K111+L111)/2)))</f>
        <v>0.17103330135345463</v>
      </c>
      <c r="N111" s="3"/>
      <c r="O111" s="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"/>
      <c r="AA111" s="3"/>
    </row>
    <row r="112" spans="1:27" x14ac:dyDescent="0.25">
      <c r="A112" s="3"/>
      <c r="B112" s="3"/>
      <c r="C112" s="3"/>
      <c r="D112" s="3"/>
      <c r="E112" s="55"/>
      <c r="F112" s="3"/>
      <c r="G112" s="3"/>
      <c r="H112" s="3"/>
      <c r="I112" s="3"/>
      <c r="J112" s="3"/>
      <c r="K112" s="185"/>
      <c r="L112" s="185"/>
      <c r="M112" s="63">
        <f>IF($M$63=структура!$P$14,"",SUM(O112:Z112))</f>
        <v>3.0837268095638137E-3</v>
      </c>
      <c r="N112" s="3"/>
      <c r="O112" s="3"/>
      <c r="P112" s="33">
        <f>IF($M$63=структура!$P$14,"",(P$18-P$22-P$12)/POWER(1+$M111,P$1))</f>
        <v>-59776.267608355418</v>
      </c>
      <c r="Q112" s="33">
        <f>IF($M$63=структура!$P$14,"",(Q$18-Q$22-Q$12)/POWER(1+$M111,Q$1))</f>
        <v>-4.244647759984256E-11</v>
      </c>
      <c r="R112" s="33">
        <f>IF($M$63=структура!$P$14,"",(R$18-R$22-R$12)/POWER(1+$M111,R$1))</f>
        <v>7.249405725829292E-11</v>
      </c>
      <c r="S112" s="33">
        <f>IF($M$63=структура!$P$14,"",(S$18-S$22-S$12)/POWER(1+$M111,S$1))</f>
        <v>-6.1906059524102246E-11</v>
      </c>
      <c r="T112" s="33">
        <f>IF($M$63=структура!$P$14,"",(T$18-T$22-T$12)/POWER(1+$M111,T$1))</f>
        <v>-28893.958899702517</v>
      </c>
      <c r="U112" s="33">
        <f>IF($M$63=структура!$P$14,"",(U$18-U$22-U$12)/POWER(1+$M111,U$1))</f>
        <v>-9.028688415398465E-11</v>
      </c>
      <c r="V112" s="33">
        <f>IF($M$63=структура!$P$14,"",(V$18-V$22-V$12)/POWER(1+$M111,V$1))</f>
        <v>3290.8362742396976</v>
      </c>
      <c r="W112" s="33">
        <f>IF($M$63=структура!$P$14,"",(W$18-W$22-W$12)/POWER(1+$M111,W$1))</f>
        <v>11260.386888320596</v>
      </c>
      <c r="X112" s="33">
        <f>IF($M$63=структура!$P$14,"",(X$18-X$22-X$12)/POWER(1+$M111,X$1))</f>
        <v>98198.203891301673</v>
      </c>
      <c r="Y112" s="33">
        <f>IF($M$63=структура!$P$14,"",(Y$18-Y$22-Y$12)/POWER(1+$M111,Y$1))</f>
        <v>-24079.197462077111</v>
      </c>
      <c r="Z112" s="3"/>
      <c r="AA112" s="3"/>
    </row>
    <row r="113" spans="1:27" x14ac:dyDescent="0.25">
      <c r="A113" s="3"/>
      <c r="B113" s="3"/>
      <c r="C113" s="3"/>
      <c r="D113" s="3"/>
      <c r="E113" s="55"/>
      <c r="F113" s="3"/>
      <c r="G113" s="3"/>
      <c r="H113" s="3"/>
      <c r="I113" s="3"/>
      <c r="J113" s="3"/>
      <c r="K113" s="185">
        <f t="shared" ref="K113" si="63">IF(M112&lt;=0,K111,M111)</f>
        <v>0.17103330135345463</v>
      </c>
      <c r="L113" s="185">
        <f t="shared" si="33"/>
        <v>0.1710333118438721</v>
      </c>
      <c r="M113" s="41">
        <f t="shared" ref="M113" si="64">IF(M112="","",IF(M112=0,M111,IF(L113="",M111*2,(K113+L113)/2)))</f>
        <v>0.17103330659866336</v>
      </c>
      <c r="N113" s="3"/>
      <c r="O113" s="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"/>
      <c r="AA113" s="3"/>
    </row>
    <row r="114" spans="1:27" x14ac:dyDescent="0.25">
      <c r="A114" s="3"/>
      <c r="B114" s="3"/>
      <c r="C114" s="3"/>
      <c r="D114" s="3"/>
      <c r="E114" s="55"/>
      <c r="F114" s="3"/>
      <c r="G114" s="3"/>
      <c r="H114" s="3"/>
      <c r="I114" s="3"/>
      <c r="J114" s="3"/>
      <c r="K114" s="185"/>
      <c r="L114" s="185"/>
      <c r="M114" s="63">
        <f>IF($M$63=структура!$P$14,"",SUM(O114:Z114))</f>
        <v>6.1185370577732101E-4</v>
      </c>
      <c r="N114" s="3"/>
      <c r="O114" s="3"/>
      <c r="P114" s="33">
        <f>IF($M$63=структура!$P$14,"",(P$18-P$22-P$12)/POWER(1+$M113,P$1))</f>
        <v>-59776.267340609826</v>
      </c>
      <c r="Q114" s="33">
        <f>IF($M$63=структура!$P$14,"",(Q$18-Q$22-Q$12)/POWER(1+$M113,Q$1))</f>
        <v>-4.2446477219596104E-11</v>
      </c>
      <c r="R114" s="33">
        <f>IF($M$63=структура!$P$14,"",(R$18-R$22-R$12)/POWER(1+$M113,R$1))</f>
        <v>7.2494056284162314E-11</v>
      </c>
      <c r="S114" s="33">
        <f>IF($M$63=структура!$P$14,"",(S$18-S$22-S$12)/POWER(1+$M113,S$1))</f>
        <v>-6.1906058414961457E-11</v>
      </c>
      <c r="T114" s="33">
        <f>IF($M$63=структура!$P$14,"",(T$18-T$22-T$12)/POWER(1+$M113,T$1))</f>
        <v>-28893.958252603741</v>
      </c>
      <c r="U114" s="33">
        <f>IF($M$63=структура!$P$14,"",(U$18-U$22-U$12)/POWER(1+$M113,U$1))</f>
        <v>-9.028688172754532E-11</v>
      </c>
      <c r="V114" s="33">
        <f>IF($M$63=структура!$P$14,"",(V$18-V$22-V$12)/POWER(1+$M113,V$1))</f>
        <v>3290.8361710591475</v>
      </c>
      <c r="W114" s="33">
        <f>IF($M$63=структура!$P$14,"",(W$18-W$22-W$12)/POWER(1+$M113,W$1))</f>
        <v>11260.38648482684</v>
      </c>
      <c r="X114" s="33">
        <f>IF($M$63=структура!$P$14,"",(X$18-X$22-X$12)/POWER(1+$M113,X$1))</f>
        <v>98198.199932720338</v>
      </c>
      <c r="Y114" s="33">
        <f>IF($M$63=структура!$P$14,"",(Y$18-Y$22-Y$12)/POWER(1+$M113,Y$1))</f>
        <v>-24079.196383538925</v>
      </c>
      <c r="Z114" s="3"/>
      <c r="AA114" s="3"/>
    </row>
    <row r="115" spans="1:27" x14ac:dyDescent="0.25">
      <c r="A115" s="3"/>
      <c r="B115" s="3"/>
      <c r="C115" s="3"/>
      <c r="D115" s="3"/>
      <c r="E115" s="55"/>
      <c r="F115" s="3"/>
      <c r="G115" s="3"/>
      <c r="H115" s="3"/>
      <c r="I115" s="3"/>
      <c r="J115" s="3"/>
      <c r="K115" s="185">
        <f t="shared" ref="K115" si="65">IF(M114&lt;=0,K113,M113)</f>
        <v>0.17103330659866336</v>
      </c>
      <c r="L115" s="185">
        <f t="shared" si="33"/>
        <v>0.1710333118438721</v>
      </c>
      <c r="M115" s="41">
        <f t="shared" ref="M115" si="66">IF(M114="","",IF(M114=0,M113,IF(L115="",M113*2,(K115+L115)/2)))</f>
        <v>0.17103330922126775</v>
      </c>
      <c r="N115" s="3"/>
      <c r="O115" s="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"/>
      <c r="AA115" s="3"/>
    </row>
    <row r="116" spans="1:27" x14ac:dyDescent="0.25">
      <c r="A116" s="3"/>
      <c r="B116" s="3"/>
      <c r="C116" s="3"/>
      <c r="D116" s="3"/>
      <c r="E116" s="55"/>
      <c r="F116" s="3"/>
      <c r="G116" s="3"/>
      <c r="H116" s="3"/>
      <c r="I116" s="3"/>
      <c r="J116" s="3"/>
      <c r="K116" s="185"/>
      <c r="L116" s="185"/>
      <c r="M116" s="63">
        <f>IF($M$63=структура!$P$14,"",SUM(O116:Z116))</f>
        <v>-6.2408280064119026E-4</v>
      </c>
      <c r="N116" s="3"/>
      <c r="O116" s="3"/>
      <c r="P116" s="33">
        <f>IF($M$63=структура!$P$14,"",(P$18-P$22-P$12)/POWER(1+$M115,P$1))</f>
        <v>-59776.267206737037</v>
      </c>
      <c r="Q116" s="33">
        <f>IF($M$63=структура!$P$14,"",(Q$18-Q$22-Q$12)/POWER(1+$M115,Q$1))</f>
        <v>-4.2446477029472873E-11</v>
      </c>
      <c r="R116" s="33">
        <f>IF($M$63=структура!$P$14,"",(R$18-R$22-R$12)/POWER(1+$M115,R$1))</f>
        <v>7.2494055797097018E-11</v>
      </c>
      <c r="S116" s="33">
        <f>IF($M$63=структура!$P$14,"",(S$18-S$22-S$12)/POWER(1+$M115,S$1))</f>
        <v>-6.1906057860391062E-11</v>
      </c>
      <c r="T116" s="33">
        <f>IF($M$63=структура!$P$14,"",(T$18-T$22-T$12)/POWER(1+$M115,T$1))</f>
        <v>-28893.957929054355</v>
      </c>
      <c r="U116" s="33">
        <f>IF($M$63=структура!$P$14,"",(U$18-U$22-U$12)/POWER(1+$M115,U$1))</f>
        <v>-9.0286880514325655E-11</v>
      </c>
      <c r="V116" s="33">
        <f>IF($M$63=структура!$P$14,"",(V$18-V$22-V$12)/POWER(1+$M115,V$1))</f>
        <v>3290.8361194688737</v>
      </c>
      <c r="W116" s="33">
        <f>IF($M$63=структура!$P$14,"",(W$18-W$22-W$12)/POWER(1+$M115,W$1))</f>
        <v>11260.386283079966</v>
      </c>
      <c r="X116" s="33">
        <f>IF($M$63=структура!$P$14,"",(X$18-X$22-X$12)/POWER(1+$M115,X$1))</f>
        <v>98198.197953429728</v>
      </c>
      <c r="Y116" s="33">
        <f>IF($M$63=структура!$P$14,"",(Y$18-Y$22-Y$12)/POWER(1+$M115,Y$1))</f>
        <v>-24079.195844269845</v>
      </c>
      <c r="Z116" s="3"/>
      <c r="AA116" s="3"/>
    </row>
    <row r="117" spans="1:27" x14ac:dyDescent="0.25">
      <c r="A117" s="3"/>
      <c r="B117" s="3"/>
      <c r="C117" s="3"/>
      <c r="D117" s="3"/>
      <c r="E117" s="55"/>
      <c r="F117" s="3"/>
      <c r="G117" s="3"/>
      <c r="H117" s="3"/>
      <c r="I117" s="3"/>
      <c r="J117" s="3"/>
      <c r="K117" s="185">
        <f t="shared" ref="K117" si="67">IF(M116&lt;=0,K115,M115)</f>
        <v>0.17103330659866336</v>
      </c>
      <c r="L117" s="185">
        <f t="shared" si="33"/>
        <v>0.17103330922126775</v>
      </c>
      <c r="M117" s="41">
        <f t="shared" ref="M117" si="68">IF(M116="","",IF(M116=0,M115,IF(L117="",M115*2,(K117+L117)/2)))</f>
        <v>0.17103330790996557</v>
      </c>
      <c r="N117" s="3"/>
      <c r="O117" s="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"/>
      <c r="AA117" s="3"/>
    </row>
    <row r="118" spans="1:27" x14ac:dyDescent="0.25">
      <c r="A118" s="3"/>
      <c r="B118" s="3"/>
      <c r="C118" s="3"/>
      <c r="D118" s="3"/>
      <c r="E118" s="55"/>
      <c r="F118" s="3"/>
      <c r="G118" s="3"/>
      <c r="H118" s="3"/>
      <c r="I118" s="3"/>
      <c r="J118" s="3"/>
      <c r="K118" s="185"/>
      <c r="L118" s="185"/>
      <c r="M118" s="63">
        <f>IF($M$63=структура!$P$14,"",SUM(O118:Z118))</f>
        <v>-6.114551069913432E-6</v>
      </c>
      <c r="N118" s="3"/>
      <c r="O118" s="3"/>
      <c r="P118" s="33">
        <f>IF($M$63=структура!$P$14,"",(P$18-P$22-P$12)/POWER(1+$M117,P$1))</f>
        <v>-59776.267273673431</v>
      </c>
      <c r="Q118" s="33">
        <f>IF($M$63=структура!$P$14,"",(Q$18-Q$22-Q$12)/POWER(1+$M117,Q$1))</f>
        <v>-4.2446477124534485E-11</v>
      </c>
      <c r="R118" s="33">
        <f>IF($M$63=структура!$P$14,"",(R$18-R$22-R$12)/POWER(1+$M117,R$1))</f>
        <v>7.2494056040629666E-11</v>
      </c>
      <c r="S118" s="33">
        <f>IF($M$63=структура!$P$14,"",(S$18-S$22-S$12)/POWER(1+$M117,S$1))</f>
        <v>-6.190605813767626E-11</v>
      </c>
      <c r="T118" s="33">
        <f>IF($M$63=структура!$P$14,"",(T$18-T$22-T$12)/POWER(1+$M117,T$1))</f>
        <v>-28893.958090829048</v>
      </c>
      <c r="U118" s="33">
        <f>IF($M$63=структура!$P$14,"",(U$18-U$22-U$12)/POWER(1+$M117,U$1))</f>
        <v>-9.0286881120935481E-11</v>
      </c>
      <c r="V118" s="33">
        <f>IF($M$63=структура!$P$14,"",(V$18-V$22-V$12)/POWER(1+$M117,V$1))</f>
        <v>3290.8361452640106</v>
      </c>
      <c r="W118" s="33">
        <f>IF($M$63=структура!$P$14,"",(W$18-W$22-W$12)/POWER(1+$M117,W$1))</f>
        <v>11260.386383953402</v>
      </c>
      <c r="X118" s="33">
        <f>IF($M$63=структура!$P$14,"",(X$18-X$22-X$12)/POWER(1+$M117,X$1))</f>
        <v>98198.198943075025</v>
      </c>
      <c r="Y118" s="33">
        <f>IF($M$63=структура!$P$14,"",(Y$18-Y$22-Y$12)/POWER(1+$M117,Y$1))</f>
        <v>-24079.196113904381</v>
      </c>
      <c r="Z118" s="3"/>
      <c r="AA118" s="3"/>
    </row>
    <row r="119" spans="1:27" x14ac:dyDescent="0.25">
      <c r="A119" s="3"/>
      <c r="B119" s="3"/>
      <c r="C119" s="3"/>
      <c r="D119" s="3"/>
      <c r="E119" s="55"/>
      <c r="F119" s="3"/>
      <c r="G119" s="3"/>
      <c r="H119" s="3"/>
      <c r="I119" s="3"/>
      <c r="J119" s="3"/>
      <c r="K119" s="185">
        <f t="shared" ref="K119" si="69">IF(M118&lt;=0,K117,M117)</f>
        <v>0.17103330659866336</v>
      </c>
      <c r="L119" s="185">
        <f t="shared" si="33"/>
        <v>0.17103330790996557</v>
      </c>
      <c r="M119" s="41">
        <f t="shared" ref="M119" si="70">IF(M118="","",IF(M118=0,M117,IF(L119="",M117*2,(K119+L119)/2)))</f>
        <v>0.17103330725431448</v>
      </c>
      <c r="N119" s="3"/>
      <c r="O119" s="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"/>
      <c r="AA119" s="3"/>
    </row>
    <row r="120" spans="1:27" x14ac:dyDescent="0.25">
      <c r="A120" s="3"/>
      <c r="B120" s="3"/>
      <c r="C120" s="3"/>
      <c r="D120" s="3"/>
      <c r="E120" s="55"/>
      <c r="F120" s="3"/>
      <c r="G120" s="3"/>
      <c r="H120" s="3"/>
      <c r="I120" s="3"/>
      <c r="J120" s="3"/>
      <c r="K120" s="185"/>
      <c r="L120" s="185"/>
      <c r="M120" s="63">
        <f>IF($M$63=структура!$P$14,"",SUM(O120:Z120))</f>
        <v>3.0286959372460842E-4</v>
      </c>
      <c r="N120" s="3"/>
      <c r="O120" s="3"/>
      <c r="P120" s="33">
        <f>IF($M$63=структура!$P$14,"",(P$18-P$22-P$12)/POWER(1+$M119,P$1))</f>
        <v>-59776.267307141628</v>
      </c>
      <c r="Q120" s="33">
        <f>IF($M$63=структура!$P$14,"",(Q$18-Q$22-Q$12)/POWER(1+$M119,Q$1))</f>
        <v>-4.2446477172065298E-11</v>
      </c>
      <c r="R120" s="33">
        <f>IF($M$63=структура!$P$14,"",(R$18-R$22-R$12)/POWER(1+$M119,R$1))</f>
        <v>7.2494056162396003E-11</v>
      </c>
      <c r="S120" s="33">
        <f>IF($M$63=структура!$P$14,"",(S$18-S$22-S$12)/POWER(1+$M119,S$1))</f>
        <v>-6.1906058276318865E-11</v>
      </c>
      <c r="T120" s="33">
        <f>IF($M$63=структура!$P$14,"",(T$18-T$22-T$12)/POWER(1+$M119,T$1))</f>
        <v>-28893.958171716396</v>
      </c>
      <c r="U120" s="33">
        <f>IF($M$63=структура!$P$14,"",(U$18-U$22-U$12)/POWER(1+$M119,U$1))</f>
        <v>-9.0286881424240407E-11</v>
      </c>
      <c r="V120" s="33">
        <f>IF($M$63=структура!$P$14,"",(V$18-V$22-V$12)/POWER(1+$M119,V$1))</f>
        <v>3290.8361581615795</v>
      </c>
      <c r="W120" s="33">
        <f>IF($M$63=структура!$P$14,"",(W$18-W$22-W$12)/POWER(1+$M119,W$1))</f>
        <v>11260.386434390122</v>
      </c>
      <c r="X120" s="33">
        <f>IF($M$63=структура!$P$14,"",(X$18-X$22-X$12)/POWER(1+$M119,X$1))</f>
        <v>98198.199437897696</v>
      </c>
      <c r="Y120" s="33">
        <f>IF($M$63=структура!$P$14,"",(Y$18-Y$22-Y$12)/POWER(1+$M119,Y$1))</f>
        <v>-24079.196248721652</v>
      </c>
      <c r="Z120" s="3"/>
      <c r="AA120" s="3"/>
    </row>
    <row r="121" spans="1:27" x14ac:dyDescent="0.25">
      <c r="A121" s="3"/>
      <c r="B121" s="3"/>
      <c r="C121" s="3"/>
      <c r="D121" s="3"/>
      <c r="E121" s="55"/>
      <c r="F121" s="3"/>
      <c r="G121" s="3"/>
      <c r="H121" s="3"/>
      <c r="I121" s="3"/>
      <c r="J121" s="3"/>
      <c r="K121" s="185">
        <f t="shared" ref="K121" si="71">IF(M120&lt;=0,K119,M119)</f>
        <v>0.17103330725431448</v>
      </c>
      <c r="L121" s="185">
        <f t="shared" si="33"/>
        <v>0.17103330790996557</v>
      </c>
      <c r="M121" s="41">
        <f t="shared" ref="M121" si="72">IF(M120="","",IF(M120=0,M119,IF(L121="",M119*2,(K121+L121)/2)))</f>
        <v>0.17103330758214003</v>
      </c>
      <c r="N121" s="3"/>
      <c r="O121" s="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"/>
      <c r="AA121" s="3"/>
    </row>
    <row r="122" spans="1:27" x14ac:dyDescent="0.25">
      <c r="A122" s="3"/>
      <c r="B122" s="3"/>
      <c r="C122" s="3"/>
      <c r="D122" s="3"/>
      <c r="E122" s="55"/>
      <c r="F122" s="3"/>
      <c r="G122" s="3"/>
      <c r="H122" s="3"/>
      <c r="I122" s="3"/>
      <c r="J122" s="3"/>
      <c r="K122" s="185"/>
      <c r="L122" s="185"/>
      <c r="M122" s="63">
        <f>IF($M$63=структура!$P$14,"",SUM(O122:Z122))</f>
        <v>1.4837750859442167E-4</v>
      </c>
      <c r="N122" s="3"/>
      <c r="O122" s="3"/>
      <c r="P122" s="33">
        <f>IF($M$63=структура!$P$14,"",(P$18-P$22-P$12)/POWER(1+$M121,P$1))</f>
        <v>-59776.26729040753</v>
      </c>
      <c r="Q122" s="33">
        <f>IF($M$63=структура!$P$14,"",(Q$18-Q$22-Q$12)/POWER(1+$M121,Q$1))</f>
        <v>-4.2446477148299888E-11</v>
      </c>
      <c r="R122" s="33">
        <f>IF($M$63=структура!$P$14,"",(R$18-R$22-R$12)/POWER(1+$M121,R$1))</f>
        <v>7.2494056101512822E-11</v>
      </c>
      <c r="S122" s="33">
        <f>IF($M$63=структура!$P$14,"",(S$18-S$22-S$12)/POWER(1+$M121,S$1))</f>
        <v>-6.1906058206997549E-11</v>
      </c>
      <c r="T122" s="33">
        <f>IF($M$63=структура!$P$14,"",(T$18-T$22-T$12)/POWER(1+$M121,T$1))</f>
        <v>-28893.95813127272</v>
      </c>
      <c r="U122" s="33">
        <f>IF($M$63=структура!$P$14,"",(U$18-U$22-U$12)/POWER(1+$M121,U$1))</f>
        <v>-9.0286881272587918E-11</v>
      </c>
      <c r="V122" s="33">
        <f>IF($M$63=структура!$P$14,"",(V$18-V$22-V$12)/POWER(1+$M121,V$1))</f>
        <v>3290.8361517127942</v>
      </c>
      <c r="W122" s="33">
        <f>IF($M$63=структура!$P$14,"",(W$18-W$22-W$12)/POWER(1+$M121,W$1))</f>
        <v>11260.386409171759</v>
      </c>
      <c r="X122" s="33">
        <f>IF($M$63=структура!$P$14,"",(X$18-X$22-X$12)/POWER(1+$M121,X$1))</f>
        <v>98198.199190486339</v>
      </c>
      <c r="Y122" s="33">
        <f>IF($M$63=структура!$P$14,"",(Y$18-Y$22-Y$12)/POWER(1+$M121,Y$1))</f>
        <v>-24079.196181313007</v>
      </c>
      <c r="Z122" s="3"/>
      <c r="AA122" s="3"/>
    </row>
    <row r="123" spans="1:27" x14ac:dyDescent="0.25">
      <c r="A123" s="3"/>
      <c r="B123" s="3"/>
      <c r="C123" s="3"/>
      <c r="D123" s="3"/>
      <c r="E123" s="55"/>
      <c r="F123" s="3"/>
      <c r="G123" s="3"/>
      <c r="H123" s="3"/>
      <c r="I123" s="3"/>
      <c r="J123" s="3"/>
      <c r="K123" s="185">
        <f t="shared" ref="K123" si="73">IF(M122&lt;=0,K121,M121)</f>
        <v>0.17103330758214003</v>
      </c>
      <c r="L123" s="185">
        <f t="shared" si="33"/>
        <v>0.17103330790996557</v>
      </c>
      <c r="M123" s="41">
        <f t="shared" ref="M123" si="74">IF(M122="","",IF(M122=0,M121,IF(L123="",M121*2,(K123+L123)/2)))</f>
        <v>0.1710333077460528</v>
      </c>
      <c r="N123" s="3"/>
      <c r="O123" s="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"/>
      <c r="AA123" s="3"/>
    </row>
    <row r="124" spans="1:27" x14ac:dyDescent="0.25">
      <c r="A124" s="3"/>
      <c r="B124" s="3"/>
      <c r="C124" s="3"/>
      <c r="D124" s="3"/>
      <c r="E124" s="55"/>
      <c r="F124" s="3"/>
      <c r="G124" s="3"/>
      <c r="H124" s="3"/>
      <c r="I124" s="3"/>
      <c r="J124" s="3"/>
      <c r="K124" s="185"/>
      <c r="L124" s="185"/>
      <c r="M124" s="63">
        <f>IF($M$63=структура!$P$14,"",SUM(O124:Z124))</f>
        <v>7.1131453296402469E-5</v>
      </c>
      <c r="N124" s="3"/>
      <c r="O124" s="3"/>
      <c r="P124" s="33">
        <f>IF($M$63=структура!$P$14,"",(P$18-P$22-P$12)/POWER(1+$M123,P$1))</f>
        <v>-59776.267282040477</v>
      </c>
      <c r="Q124" s="33">
        <f>IF($M$63=структура!$P$14,"",(Q$18-Q$22-Q$12)/POWER(1+$M123,Q$1))</f>
        <v>-4.2446477136417187E-11</v>
      </c>
      <c r="R124" s="33">
        <f>IF($M$63=структура!$P$14,"",(R$18-R$22-R$12)/POWER(1+$M123,R$1))</f>
        <v>7.2494056071071231E-11</v>
      </c>
      <c r="S124" s="33">
        <f>IF($M$63=структура!$P$14,"",(S$18-S$22-S$12)/POWER(1+$M123,S$1))</f>
        <v>-6.1906058172336885E-11</v>
      </c>
      <c r="T124" s="33">
        <f>IF($M$63=структура!$P$14,"",(T$18-T$22-T$12)/POWER(1+$M123,T$1))</f>
        <v>-28893.958111050877</v>
      </c>
      <c r="U124" s="33">
        <f>IF($M$63=структура!$P$14,"",(U$18-U$22-U$12)/POWER(1+$M123,U$1))</f>
        <v>-9.028688119676168E-11</v>
      </c>
      <c r="V124" s="33">
        <f>IF($M$63=структура!$P$14,"",(V$18-V$22-V$12)/POWER(1+$M123,V$1))</f>
        <v>3290.8361484884008</v>
      </c>
      <c r="W124" s="33">
        <f>IF($M$63=структура!$P$14,"",(W$18-W$22-W$12)/POWER(1+$M123,W$1))</f>
        <v>11260.386396562577</v>
      </c>
      <c r="X124" s="33">
        <f>IF($M$63=структура!$P$14,"",(X$18-X$22-X$12)/POWER(1+$M123,X$1))</f>
        <v>98198.199066780639</v>
      </c>
      <c r="Y124" s="33">
        <f>IF($M$63=структура!$P$14,"",(Y$18-Y$22-Y$12)/POWER(1+$M123,Y$1))</f>
        <v>-24079.196147608684</v>
      </c>
      <c r="Z124" s="3"/>
      <c r="AA124" s="3"/>
    </row>
    <row r="125" spans="1:27" x14ac:dyDescent="0.25">
      <c r="A125" s="3"/>
      <c r="B125" s="3"/>
      <c r="C125" s="3"/>
      <c r="D125" s="3"/>
      <c r="E125" s="55"/>
      <c r="F125" s="3"/>
      <c r="G125" s="3"/>
      <c r="H125" s="3"/>
      <c r="I125" s="3"/>
      <c r="J125" s="3"/>
      <c r="K125" s="185">
        <f t="shared" ref="K125" si="75">IF(M124&lt;=0,K123,M123)</f>
        <v>0.1710333077460528</v>
      </c>
      <c r="L125" s="185">
        <f t="shared" si="33"/>
        <v>0.17103330790996557</v>
      </c>
      <c r="M125" s="41">
        <f t="shared" ref="M125" si="76">IF(M124="","",IF(M124=0,M123,IF(L125="",M123*2,(K125+L125)/2)))</f>
        <v>0.17103330782800918</v>
      </c>
      <c r="N125" s="3"/>
      <c r="O125" s="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"/>
      <c r="AA125" s="3"/>
    </row>
    <row r="126" spans="1:27" x14ac:dyDescent="0.25">
      <c r="A126" s="3"/>
      <c r="B126" s="3"/>
      <c r="C126" s="3"/>
      <c r="D126" s="3"/>
      <c r="E126" s="55"/>
      <c r="F126" s="3"/>
      <c r="G126" s="3"/>
      <c r="H126" s="3"/>
      <c r="I126" s="3"/>
      <c r="J126" s="3"/>
      <c r="K126" s="185"/>
      <c r="L126" s="185"/>
      <c r="M126" s="63">
        <f>IF($M$63=структура!$P$14,"",SUM(O126:Z126))</f>
        <v>3.2508385629625991E-5</v>
      </c>
      <c r="N126" s="3"/>
      <c r="O126" s="3"/>
      <c r="P126" s="33">
        <f>IF($M$63=структура!$P$14,"",(P$18-P$22-P$12)/POWER(1+$M125,P$1))</f>
        <v>-59776.267277856947</v>
      </c>
      <c r="Q126" s="33">
        <f>IF($M$63=структура!$P$14,"",(Q$18-Q$22-Q$12)/POWER(1+$M125,Q$1))</f>
        <v>-4.2446477130475826E-11</v>
      </c>
      <c r="R126" s="33">
        <f>IF($M$63=структура!$P$14,"",(R$18-R$22-R$12)/POWER(1+$M125,R$1))</f>
        <v>7.2494056055850423E-11</v>
      </c>
      <c r="S126" s="33">
        <f>IF($M$63=структура!$P$14,"",(S$18-S$22-S$12)/POWER(1+$M125,S$1))</f>
        <v>-6.1906058155006546E-11</v>
      </c>
      <c r="T126" s="33">
        <f>IF($M$63=структура!$P$14,"",(T$18-T$22-T$12)/POWER(1+$M125,T$1))</f>
        <v>-28893.958100939948</v>
      </c>
      <c r="U126" s="33">
        <f>IF($M$63=структура!$P$14,"",(U$18-U$22-U$12)/POWER(1+$M125,U$1))</f>
        <v>-9.0286881158848516E-11</v>
      </c>
      <c r="V126" s="33">
        <f>IF($M$63=структура!$P$14,"",(V$18-V$22-V$12)/POWER(1+$M125,V$1))</f>
        <v>3290.8361468762027</v>
      </c>
      <c r="W126" s="33">
        <f>IF($M$63=структура!$P$14,"",(W$18-W$22-W$12)/POWER(1+$M125,W$1))</f>
        <v>11260.386390257978</v>
      </c>
      <c r="X126" s="33">
        <f>IF($M$63=структура!$P$14,"",(X$18-X$22-X$12)/POWER(1+$M125,X$1))</f>
        <v>98198.199004927723</v>
      </c>
      <c r="Y126" s="33">
        <f>IF($M$63=структура!$P$14,"",(Y$18-Y$22-Y$12)/POWER(1+$M125,Y$1))</f>
        <v>-24079.196130756503</v>
      </c>
      <c r="Z126" s="3"/>
      <c r="AA126" s="3"/>
    </row>
    <row r="127" spans="1:27" x14ac:dyDescent="0.25">
      <c r="A127" s="3"/>
      <c r="B127" s="3"/>
      <c r="C127" s="3"/>
      <c r="D127" s="3"/>
      <c r="E127" s="55"/>
      <c r="F127" s="3"/>
      <c r="G127" s="3"/>
      <c r="H127" s="3"/>
      <c r="I127" s="3"/>
      <c r="J127" s="3"/>
      <c r="K127" s="185">
        <f t="shared" ref="K127" si="77">IF(M126&lt;=0,K125,M125)</f>
        <v>0.17103330782800918</v>
      </c>
      <c r="L127" s="185">
        <f t="shared" si="33"/>
        <v>0.17103330790996557</v>
      </c>
      <c r="M127" s="41">
        <f t="shared" ref="M127" si="78">IF(M126="","",IF(M126=0,M125,IF(L127="",M125*2,(K127+L127)/2)))</f>
        <v>0.17103330786898738</v>
      </c>
      <c r="N127" s="3"/>
      <c r="O127" s="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"/>
      <c r="AA127" s="3"/>
    </row>
    <row r="128" spans="1:27" x14ac:dyDescent="0.25">
      <c r="A128" s="3"/>
      <c r="B128" s="3"/>
      <c r="C128" s="3"/>
      <c r="D128" s="3"/>
      <c r="E128" s="55"/>
      <c r="F128" s="3"/>
      <c r="G128" s="3"/>
      <c r="H128" s="3"/>
      <c r="I128" s="3"/>
      <c r="J128" s="3"/>
      <c r="K128" s="185"/>
      <c r="L128" s="185"/>
      <c r="M128" s="63">
        <f>IF($M$63=структура!$P$14,"",SUM(O128:Z128))</f>
        <v>1.3196939107729122E-5</v>
      </c>
      <c r="N128" s="3"/>
      <c r="O128" s="3"/>
      <c r="P128" s="33">
        <f>IF($M$63=структура!$P$14,"",(P$18-P$22-P$12)/POWER(1+$M127,P$1))</f>
        <v>-59776.267275765189</v>
      </c>
      <c r="Q128" s="33">
        <f>IF($M$63=структура!$P$14,"",(Q$18-Q$22-Q$12)/POWER(1+$M127,Q$1))</f>
        <v>-4.2446477127505156E-11</v>
      </c>
      <c r="R128" s="33">
        <f>IF($M$63=структура!$P$14,"",(R$18-R$22-R$12)/POWER(1+$M127,R$1))</f>
        <v>7.2494056048240051E-11</v>
      </c>
      <c r="S128" s="33">
        <f>IF($M$63=структура!$P$14,"",(S$18-S$22-S$12)/POWER(1+$M127,S$1))</f>
        <v>-6.1906058146341403E-11</v>
      </c>
      <c r="T128" s="33">
        <f>IF($M$63=структура!$P$14,"",(T$18-T$22-T$12)/POWER(1+$M127,T$1))</f>
        <v>-28893.9580958845</v>
      </c>
      <c r="U128" s="33">
        <f>IF($M$63=структура!$P$14,"",(U$18-U$22-U$12)/POWER(1+$M127,U$1))</f>
        <v>-9.0286881139891992E-11</v>
      </c>
      <c r="V128" s="33">
        <f>IF($M$63=структура!$P$14,"",(V$18-V$22-V$12)/POWER(1+$M127,V$1))</f>
        <v>3290.8361460701067</v>
      </c>
      <c r="W128" s="33">
        <f>IF($M$63=структура!$P$14,"",(W$18-W$22-W$12)/POWER(1+$M127,W$1))</f>
        <v>11260.386387105691</v>
      </c>
      <c r="X128" s="33">
        <f>IF($M$63=структура!$P$14,"",(X$18-X$22-X$12)/POWER(1+$M127,X$1))</f>
        <v>98198.198974001381</v>
      </c>
      <c r="Y128" s="33">
        <f>IF($M$63=структура!$P$14,"",(Y$18-Y$22-Y$12)/POWER(1+$M127,Y$1))</f>
        <v>-24079.196122330442</v>
      </c>
      <c r="Z128" s="3"/>
      <c r="AA128" s="3"/>
    </row>
    <row r="129" spans="1:27" x14ac:dyDescent="0.25">
      <c r="A129" s="3"/>
      <c r="B129" s="3"/>
      <c r="C129" s="3"/>
      <c r="D129" s="3"/>
      <c r="E129" s="55"/>
      <c r="F129" s="3"/>
      <c r="G129" s="3"/>
      <c r="H129" s="3"/>
      <c r="I129" s="3"/>
      <c r="J129" s="3"/>
      <c r="K129" s="185">
        <f t="shared" ref="K129" si="79">IF(M128&lt;=0,K127,M127)</f>
        <v>0.17103330786898738</v>
      </c>
      <c r="L129" s="185">
        <f t="shared" si="33"/>
        <v>0.17103330790996557</v>
      </c>
      <c r="M129" s="41">
        <f t="shared" ref="M129" si="80">IF(M128="","",IF(M128=0,M127,IF(L129="",M127*2,(K129+L129)/2)))</f>
        <v>0.17103330788947646</v>
      </c>
      <c r="N129" s="3"/>
      <c r="O129" s="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"/>
      <c r="AA129" s="3"/>
    </row>
    <row r="130" spans="1:27" x14ac:dyDescent="0.25">
      <c r="A130" s="3"/>
      <c r="B130" s="3"/>
      <c r="C130" s="3"/>
      <c r="D130" s="3"/>
      <c r="E130" s="55"/>
      <c r="F130" s="3"/>
      <c r="G130" s="3"/>
      <c r="H130" s="3"/>
      <c r="I130" s="3"/>
      <c r="J130" s="3"/>
      <c r="K130" s="185"/>
      <c r="L130" s="185"/>
      <c r="M130" s="63">
        <f>IF($M$63=структура!$P$14,"",SUM(O130:Z130))</f>
        <v>3.5411103453952819E-6</v>
      </c>
      <c r="N130" s="3"/>
      <c r="O130" s="3"/>
      <c r="P130" s="33">
        <f>IF($M$63=структура!$P$14,"",(P$18-P$22-P$12)/POWER(1+$M129,P$1))</f>
        <v>-59776.267274719306</v>
      </c>
      <c r="Q130" s="33">
        <f>IF($M$63=структура!$P$14,"",(Q$18-Q$22-Q$12)/POWER(1+$M129,Q$1))</f>
        <v>-4.2446477126019817E-11</v>
      </c>
      <c r="R130" s="33">
        <f>IF($M$63=структура!$P$14,"",(R$18-R$22-R$12)/POWER(1+$M129,R$1))</f>
        <v>7.2494056044434839E-11</v>
      </c>
      <c r="S130" s="33">
        <f>IF($M$63=структура!$P$14,"",(S$18-S$22-S$12)/POWER(1+$M129,S$1))</f>
        <v>-6.1906058142008812E-11</v>
      </c>
      <c r="T130" s="33">
        <f>IF($M$63=структура!$P$14,"",(T$18-T$22-T$12)/POWER(1+$M129,T$1))</f>
        <v>-28893.958093356759</v>
      </c>
      <c r="U130" s="33">
        <f>IF($M$63=структура!$P$14,"",(U$18-U$22-U$12)/POWER(1+$M129,U$1))</f>
        <v>-9.0286881130413691E-11</v>
      </c>
      <c r="V130" s="33">
        <f>IF($M$63=структура!$P$14,"",(V$18-V$22-V$12)/POWER(1+$M129,V$1))</f>
        <v>3290.8361456670568</v>
      </c>
      <c r="W130" s="33">
        <f>IF($M$63=структура!$P$14,"",(W$18-W$22-W$12)/POWER(1+$M129,W$1))</f>
        <v>11260.386385529539</v>
      </c>
      <c r="X130" s="33">
        <f>IF($M$63=структура!$P$14,"",(X$18-X$22-X$12)/POWER(1+$M129,X$1))</f>
        <v>98198.198958538109</v>
      </c>
      <c r="Y130" s="33">
        <f>IF($M$63=структура!$P$14,"",(Y$18-Y$22-Y$12)/POWER(1+$M129,Y$1))</f>
        <v>-24079.196118117394</v>
      </c>
      <c r="Z130" s="3"/>
      <c r="AA130" s="3"/>
    </row>
    <row r="131" spans="1:27" x14ac:dyDescent="0.25">
      <c r="A131" s="3"/>
      <c r="B131" s="3"/>
      <c r="C131" s="3"/>
      <c r="D131" s="3"/>
      <c r="E131" s="55"/>
      <c r="F131" s="3"/>
      <c r="G131" s="3"/>
      <c r="H131" s="3"/>
      <c r="I131" s="3"/>
      <c r="J131" s="3"/>
      <c r="K131" s="185">
        <f t="shared" ref="K131" si="81">IF(M130&lt;=0,K129,M129)</f>
        <v>0.17103330788947646</v>
      </c>
      <c r="L131" s="185">
        <f t="shared" si="33"/>
        <v>0.17103330790996557</v>
      </c>
      <c r="M131" s="41">
        <f t="shared" ref="M131" si="82">IF(M130="","",IF(M130=0,M129,IF(L131="",M129*2,(K131+L131)/2)))</f>
        <v>0.17103330789972102</v>
      </c>
      <c r="N131" s="3"/>
      <c r="O131" s="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"/>
      <c r="AA131" s="3"/>
    </row>
    <row r="132" spans="1:27" x14ac:dyDescent="0.25">
      <c r="A132" s="3"/>
      <c r="B132" s="3"/>
      <c r="C132" s="3"/>
      <c r="D132" s="3"/>
      <c r="E132" s="55"/>
      <c r="F132" s="3"/>
      <c r="G132" s="3"/>
      <c r="H132" s="3"/>
      <c r="I132" s="3"/>
      <c r="J132" s="3"/>
      <c r="K132" s="185"/>
      <c r="L132" s="185"/>
      <c r="M132" s="63">
        <f>IF($M$63=структура!$P$14,"",SUM(O132:Z132))</f>
        <v>-1.2867058103438467E-6</v>
      </c>
      <c r="N132" s="3"/>
      <c r="O132" s="3"/>
      <c r="P132" s="33">
        <f>IF($M$63=структура!$P$14,"",(P$18-P$22-P$12)/POWER(1+$M131,P$1))</f>
        <v>-59776.267274196369</v>
      </c>
      <c r="Q132" s="33">
        <f>IF($M$63=структура!$P$14,"",(Q$18-Q$22-Q$12)/POWER(1+$M131,Q$1))</f>
        <v>-4.2446477125277151E-11</v>
      </c>
      <c r="R132" s="33">
        <f>IF($M$63=структура!$P$14,"",(R$18-R$22-R$12)/POWER(1+$M131,R$1))</f>
        <v>7.2494056042532259E-11</v>
      </c>
      <c r="S132" s="33">
        <f>IF($M$63=структура!$P$14,"",(S$18-S$22-S$12)/POWER(1+$M131,S$1))</f>
        <v>-6.1906058139842529E-11</v>
      </c>
      <c r="T132" s="33">
        <f>IF($M$63=структура!$P$14,"",(T$18-T$22-T$12)/POWER(1+$M131,T$1))</f>
        <v>-28893.958092092907</v>
      </c>
      <c r="U132" s="33">
        <f>IF($M$63=структура!$P$14,"",(U$18-U$22-U$12)/POWER(1+$M131,U$1))</f>
        <v>-9.0286881125674593E-11</v>
      </c>
      <c r="V132" s="33">
        <f>IF($M$63=структура!$P$14,"",(V$18-V$22-V$12)/POWER(1+$M131,V$1))</f>
        <v>3290.8361454655337</v>
      </c>
      <c r="W132" s="33">
        <f>IF($M$63=структура!$P$14,"",(W$18-W$22-W$12)/POWER(1+$M131,W$1))</f>
        <v>11260.38638474147</v>
      </c>
      <c r="X132" s="33">
        <f>IF($M$63=структура!$P$14,"",(X$18-X$22-X$12)/POWER(1+$M131,X$1))</f>
        <v>98198.198950806574</v>
      </c>
      <c r="Y132" s="33">
        <f>IF($M$63=структура!$P$14,"",(Y$18-Y$22-Y$12)/POWER(1+$M131,Y$1))</f>
        <v>-24079.196116010888</v>
      </c>
      <c r="Z132" s="3"/>
      <c r="AA132" s="3"/>
    </row>
    <row r="133" spans="1:27" x14ac:dyDescent="0.25">
      <c r="A133" s="3"/>
      <c r="B133" s="3"/>
      <c r="C133" s="3"/>
      <c r="D133" s="3"/>
      <c r="E133" s="55"/>
      <c r="F133" s="3"/>
      <c r="G133" s="3"/>
      <c r="H133" s="3"/>
      <c r="I133" s="3"/>
      <c r="J133" s="3"/>
      <c r="K133" s="185">
        <f t="shared" ref="K133" si="83">IF(M132&lt;=0,K131,M131)</f>
        <v>0.17103330788947646</v>
      </c>
      <c r="L133" s="185">
        <f t="shared" si="33"/>
        <v>0.17103330789972102</v>
      </c>
      <c r="M133" s="41">
        <f t="shared" ref="M133" si="84">IF(M132="","",IF(M132=0,M131,IF(L133="",M131*2,(K133+L133)/2)))</f>
        <v>0.17103330789459875</v>
      </c>
      <c r="N133" s="3"/>
      <c r="O133" s="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"/>
      <c r="AA133" s="3"/>
    </row>
    <row r="134" spans="1:27" x14ac:dyDescent="0.25">
      <c r="A134" s="3"/>
      <c r="B134" s="3"/>
      <c r="C134" s="3"/>
      <c r="D134" s="3"/>
      <c r="E134" s="55"/>
      <c r="F134" s="3"/>
      <c r="G134" s="3"/>
      <c r="H134" s="3"/>
      <c r="I134" s="3"/>
      <c r="J134" s="3"/>
      <c r="K134" s="185"/>
      <c r="L134" s="185"/>
      <c r="M134" s="63">
        <f>IF($M$63=структура!$P$14,"",SUM(O134:Z134))</f>
        <v>1.1272641131654382E-6</v>
      </c>
      <c r="N134" s="3"/>
      <c r="O134" s="3"/>
      <c r="P134" s="33">
        <f>IF($M$63=структура!$P$14,"",(P$18-P$22-P$12)/POWER(1+$M133,P$1))</f>
        <v>-59776.267274457845</v>
      </c>
      <c r="Q134" s="33">
        <f>IF($M$63=структура!$P$14,"",(Q$18-Q$22-Q$12)/POWER(1+$M133,Q$1))</f>
        <v>-4.2446477125648491E-11</v>
      </c>
      <c r="R134" s="33">
        <f>IF($M$63=структура!$P$14,"",(R$18-R$22-R$12)/POWER(1+$M133,R$1))</f>
        <v>7.2494056043483568E-11</v>
      </c>
      <c r="S134" s="33">
        <f>IF($M$63=структура!$P$14,"",(S$18-S$22-S$12)/POWER(1+$M133,S$1))</f>
        <v>-6.1906058140925696E-11</v>
      </c>
      <c r="T134" s="33">
        <f>IF($M$63=структура!$P$14,"",(T$18-T$22-T$12)/POWER(1+$M133,T$1))</f>
        <v>-28893.95809272485</v>
      </c>
      <c r="U134" s="33">
        <f>IF($M$63=структура!$P$14,"",(U$18-U$22-U$12)/POWER(1+$M133,U$1))</f>
        <v>-9.0286881128044194E-11</v>
      </c>
      <c r="V134" s="33">
        <f>IF($M$63=структура!$P$14,"",(V$18-V$22-V$12)/POWER(1+$M133,V$1))</f>
        <v>3290.8361455662975</v>
      </c>
      <c r="W134" s="33">
        <f>IF($M$63=структура!$P$14,"",(W$18-W$22-W$12)/POWER(1+$M133,W$1))</f>
        <v>11260.386385135513</v>
      </c>
      <c r="X134" s="33">
        <f>IF($M$63=структура!$P$14,"",(X$18-X$22-X$12)/POWER(1+$M133,X$1))</f>
        <v>98198.198954672436</v>
      </c>
      <c r="Y134" s="33">
        <f>IF($M$63=структура!$P$14,"",(Y$18-Y$22-Y$12)/POWER(1+$M133,Y$1))</f>
        <v>-24079.196117064159</v>
      </c>
      <c r="Z134" s="3"/>
      <c r="AA134" s="3"/>
    </row>
    <row r="135" spans="1:27" x14ac:dyDescent="0.25">
      <c r="A135" s="3"/>
      <c r="B135" s="3"/>
      <c r="C135" s="3"/>
      <c r="D135" s="3"/>
      <c r="E135" s="55"/>
      <c r="F135" s="3"/>
      <c r="G135" s="3"/>
      <c r="H135" s="3"/>
      <c r="I135" s="3"/>
      <c r="J135" s="3"/>
      <c r="K135" s="185">
        <f t="shared" ref="K135" si="85">IF(M134&lt;=0,K133,M133)</f>
        <v>0.17103330789459875</v>
      </c>
      <c r="L135" s="185">
        <f t="shared" si="33"/>
        <v>0.17103330789972102</v>
      </c>
      <c r="M135" s="41">
        <f t="shared" ref="M135" si="86">IF(M134="","",IF(M134=0,M133,IF(L135="",M133*2,(K135+L135)/2)))</f>
        <v>0.17103330789715987</v>
      </c>
      <c r="N135" s="3"/>
      <c r="O135" s="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"/>
      <c r="AA135" s="3"/>
    </row>
    <row r="136" spans="1:27" x14ac:dyDescent="0.25">
      <c r="A136" s="3"/>
      <c r="B136" s="3"/>
      <c r="C136" s="3"/>
      <c r="D136" s="3"/>
      <c r="E136" s="55"/>
      <c r="F136" s="3"/>
      <c r="G136" s="3"/>
      <c r="H136" s="3"/>
      <c r="I136" s="3"/>
      <c r="J136" s="3"/>
      <c r="K136" s="185"/>
      <c r="L136" s="185"/>
      <c r="M136" s="63">
        <f>IF($M$63=структура!$P$14,"",SUM(O136:Z136))</f>
        <v>-7.964263204485178E-8</v>
      </c>
      <c r="N136" s="3"/>
      <c r="O136" s="3"/>
      <c r="P136" s="33">
        <f>IF($M$63=структура!$P$14,"",(P$18-P$22-P$12)/POWER(1+$M135,P$1))</f>
        <v>-59776.26727432711</v>
      </c>
      <c r="Q136" s="33">
        <f>IF($M$63=структура!$P$14,"",(Q$18-Q$22-Q$12)/POWER(1+$M135,Q$1))</f>
        <v>-4.2446477125462834E-11</v>
      </c>
      <c r="R136" s="33">
        <f>IF($M$63=структура!$P$14,"",(R$18-R$22-R$12)/POWER(1+$M135,R$1))</f>
        <v>7.249405604300794E-11</v>
      </c>
      <c r="S136" s="33">
        <f>IF($M$63=структура!$P$14,"",(S$18-S$22-S$12)/POWER(1+$M135,S$1))</f>
        <v>-6.1906058140384139E-11</v>
      </c>
      <c r="T136" s="33">
        <f>IF($M$63=структура!$P$14,"",(T$18-T$22-T$12)/POWER(1+$M135,T$1))</f>
        <v>-28893.958092408895</v>
      </c>
      <c r="U136" s="33">
        <f>IF($M$63=структура!$P$14,"",(U$18-U$22-U$12)/POWER(1+$M135,U$1))</f>
        <v>-9.0286881126859451E-11</v>
      </c>
      <c r="V136" s="33">
        <f>IF($M$63=структура!$P$14,"",(V$18-V$22-V$12)/POWER(1+$M135,V$1))</f>
        <v>3290.8361455159184</v>
      </c>
      <c r="W136" s="33">
        <f>IF($M$63=структура!$P$14,"",(W$18-W$22-W$12)/POWER(1+$M135,W$1))</f>
        <v>11260.386384938503</v>
      </c>
      <c r="X136" s="33">
        <f>IF($M$63=структура!$P$14,"",(X$18-X$22-X$12)/POWER(1+$M135,X$1))</f>
        <v>98198.198952739607</v>
      </c>
      <c r="Y136" s="33">
        <f>IF($M$63=структура!$P$14,"",(Y$18-Y$22-Y$12)/POWER(1+$M135,Y$1))</f>
        <v>-24079.196116537554</v>
      </c>
      <c r="Z136" s="3"/>
      <c r="AA136" s="3"/>
    </row>
    <row r="137" spans="1:27" x14ac:dyDescent="0.25">
      <c r="A137" s="3"/>
      <c r="B137" s="3"/>
      <c r="C137" s="3"/>
      <c r="D137" s="3"/>
      <c r="E137" s="55"/>
      <c r="F137" s="3"/>
      <c r="G137" s="3"/>
      <c r="H137" s="3"/>
      <c r="I137" s="3"/>
      <c r="J137" s="3"/>
      <c r="K137" s="185">
        <f t="shared" ref="K137" si="87">IF(M136&lt;=0,K135,M135)</f>
        <v>0.17103330789459875</v>
      </c>
      <c r="L137" s="185">
        <f t="shared" si="33"/>
        <v>0.17103330789715987</v>
      </c>
      <c r="M137" s="41">
        <f t="shared" ref="M137" si="88">IF(M136="","",IF(M136=0,M135,IF(L137="",M135*2,(K137+L137)/2)))</f>
        <v>0.17103330789587931</v>
      </c>
      <c r="N137" s="3"/>
      <c r="O137" s="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"/>
      <c r="AA137" s="3"/>
    </row>
    <row r="138" spans="1:27" x14ac:dyDescent="0.25">
      <c r="A138" s="3"/>
      <c r="B138" s="3"/>
      <c r="C138" s="3"/>
      <c r="D138" s="3"/>
      <c r="E138" s="55"/>
      <c r="F138" s="3"/>
      <c r="G138" s="3"/>
      <c r="H138" s="3"/>
      <c r="I138" s="3"/>
      <c r="J138" s="3"/>
      <c r="K138" s="185"/>
      <c r="L138" s="185"/>
      <c r="M138" s="63">
        <f>IF($M$63=структура!$P$14,"",SUM(O138:Z138))</f>
        <v>5.2379255066625774E-7</v>
      </c>
      <c r="N138" s="3"/>
      <c r="O138" s="3"/>
      <c r="P138" s="33">
        <f>IF($M$63=структура!$P$14,"",(P$18-P$22-P$12)/POWER(1+$M137,P$1))</f>
        <v>-59776.267274392478</v>
      </c>
      <c r="Q138" s="33">
        <f>IF($M$63=структура!$P$14,"",(Q$18-Q$22-Q$12)/POWER(1+$M137,Q$1))</f>
        <v>-4.2446477125555659E-11</v>
      </c>
      <c r="R138" s="33">
        <f>IF($M$63=структура!$P$14,"",(R$18-R$22-R$12)/POWER(1+$M137,R$1))</f>
        <v>7.2494056043245741E-11</v>
      </c>
      <c r="S138" s="33">
        <f>IF($M$63=структура!$P$14,"",(S$18-S$22-S$12)/POWER(1+$M137,S$1))</f>
        <v>-6.1906058140654911E-11</v>
      </c>
      <c r="T138" s="33">
        <f>IF($M$63=структура!$P$14,"",(T$18-T$22-T$12)/POWER(1+$M137,T$1))</f>
        <v>-28893.958092566867</v>
      </c>
      <c r="U138" s="33">
        <f>IF($M$63=структура!$P$14,"",(U$18-U$22-U$12)/POWER(1+$M137,U$1))</f>
        <v>-9.028688112745179E-11</v>
      </c>
      <c r="V138" s="33">
        <f>IF($M$63=структура!$P$14,"",(V$18-V$22-V$12)/POWER(1+$M137,V$1))</f>
        <v>3290.8361455411068</v>
      </c>
      <c r="W138" s="33">
        <f>IF($M$63=структура!$P$14,"",(W$18-W$22-W$12)/POWER(1+$M137,W$1))</f>
        <v>11260.386385037003</v>
      </c>
      <c r="X138" s="33">
        <f>IF($M$63=структура!$P$14,"",(X$18-X$22-X$12)/POWER(1+$M137,X$1))</f>
        <v>98198.198953705985</v>
      </c>
      <c r="Y138" s="33">
        <f>IF($M$63=структура!$P$14,"",(Y$18-Y$22-Y$12)/POWER(1+$M137,Y$1))</f>
        <v>-24079.196116800846</v>
      </c>
      <c r="Z138" s="3"/>
      <c r="AA138" s="3"/>
    </row>
    <row r="139" spans="1:27" x14ac:dyDescent="0.25">
      <c r="A139" s="3"/>
      <c r="B139" s="3"/>
      <c r="C139" s="3"/>
      <c r="D139" s="3"/>
      <c r="E139" s="55"/>
      <c r="F139" s="3"/>
      <c r="G139" s="3"/>
      <c r="H139" s="3"/>
      <c r="I139" s="3"/>
      <c r="J139" s="3"/>
      <c r="K139" s="185">
        <f t="shared" ref="K139" si="89">IF(M138&lt;=0,K137,M137)</f>
        <v>0.17103330789587931</v>
      </c>
      <c r="L139" s="185">
        <f t="shared" si="33"/>
        <v>0.17103330789715987</v>
      </c>
      <c r="M139" s="41">
        <f t="shared" ref="M139" si="90">IF(M138="","",IF(M138=0,M137,IF(L139="",M137*2,(K139+L139)/2)))</f>
        <v>0.1710333078965196</v>
      </c>
      <c r="N139" s="3"/>
      <c r="O139" s="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"/>
      <c r="AA139" s="3"/>
    </row>
    <row r="140" spans="1:27" x14ac:dyDescent="0.25">
      <c r="A140" s="3"/>
      <c r="B140" s="3"/>
      <c r="C140" s="3"/>
      <c r="D140" s="3"/>
      <c r="E140" s="55"/>
      <c r="F140" s="3"/>
      <c r="G140" s="3"/>
      <c r="H140" s="3"/>
      <c r="I140" s="3"/>
      <c r="J140" s="3"/>
      <c r="K140" s="185"/>
      <c r="L140" s="185"/>
      <c r="M140" s="63">
        <f>IF($M$63=структура!$P$14,"",SUM(O140:Z140))</f>
        <v>2.2201129468157887E-7</v>
      </c>
      <c r="N140" s="3"/>
      <c r="O140" s="3"/>
      <c r="P140" s="33">
        <f>IF($M$63=структура!$P$14,"",(P$18-P$22-P$12)/POWER(1+$M139,P$1))</f>
        <v>-59776.267274359787</v>
      </c>
      <c r="Q140" s="33">
        <f>IF($M$63=структура!$P$14,"",(Q$18-Q$22-Q$12)/POWER(1+$M139,Q$1))</f>
        <v>-4.244647712550924E-11</v>
      </c>
      <c r="R140" s="33">
        <f>IF($M$63=структура!$P$14,"",(R$18-R$22-R$12)/POWER(1+$M139,R$1))</f>
        <v>7.2494056043126821E-11</v>
      </c>
      <c r="S140" s="33">
        <f>IF($M$63=структура!$P$14,"",(S$18-S$22-S$12)/POWER(1+$M139,S$1))</f>
        <v>-6.1906058140519499E-11</v>
      </c>
      <c r="T140" s="33">
        <f>IF($M$63=структура!$P$14,"",(T$18-T$22-T$12)/POWER(1+$M139,T$1))</f>
        <v>-28893.958092487865</v>
      </c>
      <c r="U140" s="33">
        <f>IF($M$63=структура!$P$14,"",(U$18-U$22-U$12)/POWER(1+$M139,U$1))</f>
        <v>-9.0286881127155582E-11</v>
      </c>
      <c r="V140" s="33">
        <f>IF($M$63=структура!$P$14,"",(V$18-V$22-V$12)/POWER(1+$M139,V$1))</f>
        <v>3290.8361455285103</v>
      </c>
      <c r="W140" s="33">
        <f>IF($M$63=структура!$P$14,"",(W$18-W$22-W$12)/POWER(1+$M139,W$1))</f>
        <v>11260.386384987747</v>
      </c>
      <c r="X140" s="33">
        <f>IF($M$63=структура!$P$14,"",(X$18-X$22-X$12)/POWER(1+$M139,X$1))</f>
        <v>98198.198953222716</v>
      </c>
      <c r="Y140" s="33">
        <f>IF($M$63=структура!$P$14,"",(Y$18-Y$22-Y$12)/POWER(1+$M139,Y$1))</f>
        <v>-24079.196116669184</v>
      </c>
      <c r="Z140" s="3"/>
      <c r="AA140" s="3"/>
    </row>
    <row r="141" spans="1:27" x14ac:dyDescent="0.25">
      <c r="A141" s="3"/>
      <c r="B141" s="3"/>
      <c r="C141" s="3"/>
      <c r="D141" s="3"/>
      <c r="E141" s="55"/>
      <c r="F141" s="3"/>
      <c r="G141" s="3"/>
      <c r="H141" s="3"/>
      <c r="I141" s="3"/>
      <c r="J141" s="3"/>
      <c r="K141" s="185">
        <f t="shared" ref="K141" si="91">IF(M140&lt;=0,K139,M139)</f>
        <v>0.1710333078965196</v>
      </c>
      <c r="L141" s="185">
        <f t="shared" si="33"/>
        <v>0.17103330789715987</v>
      </c>
      <c r="M141" s="41">
        <f t="shared" ref="M141" si="92">IF(M140="","",IF(M140=0,M139,IF(L141="",M139*2,(K141+L141)/2)))</f>
        <v>0.17103330789683974</v>
      </c>
      <c r="N141" s="3"/>
      <c r="O141" s="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"/>
      <c r="AA141" s="3"/>
    </row>
    <row r="142" spans="1:27" x14ac:dyDescent="0.25">
      <c r="A142" s="3"/>
      <c r="B142" s="3"/>
      <c r="C142" s="3"/>
      <c r="D142" s="3"/>
      <c r="E142" s="55"/>
      <c r="F142" s="3"/>
      <c r="G142" s="3"/>
      <c r="H142" s="3"/>
      <c r="I142" s="3"/>
      <c r="J142" s="3"/>
      <c r="K142" s="185"/>
      <c r="L142" s="185"/>
      <c r="M142" s="63">
        <f>IF($M$63=структура!$P$14,"",SUM(O142:Z142))</f>
        <v>7.1129761636257172E-8</v>
      </c>
      <c r="N142" s="3"/>
      <c r="O142" s="3"/>
      <c r="P142" s="33">
        <f>IF($M$63=структура!$P$14,"",(P$18-P$22-P$12)/POWER(1+$M141,P$1))</f>
        <v>-59776.267274343445</v>
      </c>
      <c r="Q142" s="33">
        <f>IF($M$63=структура!$P$14,"",(Q$18-Q$22-Q$12)/POWER(1+$M141,Q$1))</f>
        <v>-4.2446477125486027E-11</v>
      </c>
      <c r="R142" s="33">
        <f>IF($M$63=структура!$P$14,"",(R$18-R$22-R$12)/POWER(1+$M141,R$1))</f>
        <v>7.2494056043067354E-11</v>
      </c>
      <c r="S142" s="33">
        <f>IF($M$63=структура!$P$14,"",(S$18-S$22-S$12)/POWER(1+$M141,S$1))</f>
        <v>-6.1906058140451799E-11</v>
      </c>
      <c r="T142" s="33">
        <f>IF($M$63=структура!$P$14,"",(T$18-T$22-T$12)/POWER(1+$M141,T$1))</f>
        <v>-28893.958092448367</v>
      </c>
      <c r="U142" s="33">
        <f>IF($M$63=структура!$P$14,"",(U$18-U$22-U$12)/POWER(1+$M141,U$1))</f>
        <v>-9.0286881127007478E-11</v>
      </c>
      <c r="V142" s="33">
        <f>IF($M$63=структура!$P$14,"",(V$18-V$22-V$12)/POWER(1+$M141,V$1))</f>
        <v>3290.8361455222125</v>
      </c>
      <c r="W142" s="33">
        <f>IF($M$63=структура!$P$14,"",(W$18-W$22-W$12)/POWER(1+$M141,W$1))</f>
        <v>11260.386384963116</v>
      </c>
      <c r="X142" s="33">
        <f>IF($M$63=структура!$P$14,"",(X$18-X$22-X$12)/POWER(1+$M141,X$1))</f>
        <v>98198.198952981082</v>
      </c>
      <c r="Y142" s="33">
        <f>IF($M$63=структура!$P$14,"",(Y$18-Y$22-Y$12)/POWER(1+$M141,Y$1))</f>
        <v>-24079.196116603343</v>
      </c>
      <c r="Z142" s="3"/>
      <c r="AA142" s="3"/>
    </row>
    <row r="143" spans="1:27" x14ac:dyDescent="0.25">
      <c r="A143" s="3"/>
      <c r="B143" s="3"/>
      <c r="C143" s="3"/>
      <c r="D143" s="3"/>
      <c r="E143" s="55"/>
      <c r="F143" s="3"/>
      <c r="G143" s="3"/>
      <c r="H143" s="3"/>
      <c r="I143" s="3"/>
      <c r="J143" s="3"/>
      <c r="K143" s="185">
        <f t="shared" ref="K143" si="93">IF(M142&lt;=0,K141,M141)</f>
        <v>0.17103330789683974</v>
      </c>
      <c r="L143" s="185">
        <f t="shared" si="33"/>
        <v>0.17103330789715987</v>
      </c>
      <c r="M143" s="41">
        <f t="shared" ref="M143" si="94">IF(M142="","",IF(M142=0,M141,IF(L143="",M141*2,(K143+L143)/2)))</f>
        <v>0.1710333078969998</v>
      </c>
      <c r="N143" s="3"/>
      <c r="O143" s="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"/>
      <c r="AA143" s="3"/>
    </row>
    <row r="144" spans="1:27" x14ac:dyDescent="0.25">
      <c r="A144" s="3"/>
      <c r="B144" s="3"/>
      <c r="C144" s="3"/>
      <c r="D144" s="3"/>
      <c r="E144" s="55"/>
      <c r="F144" s="3"/>
      <c r="G144" s="3"/>
      <c r="H144" s="3"/>
      <c r="I144" s="3"/>
      <c r="J144" s="3"/>
      <c r="K144" s="185"/>
      <c r="L144" s="185"/>
      <c r="M144" s="63">
        <f>IF($M$63=структура!$P$14,"",SUM(O144:Z144))</f>
        <v>-4.3037289287894964E-9</v>
      </c>
      <c r="N144" s="3"/>
      <c r="O144" s="3"/>
      <c r="P144" s="33">
        <f>IF($M$63=структура!$P$14,"",(P$18-P$22-P$12)/POWER(1+$M143,P$1))</f>
        <v>-59776.267274335274</v>
      </c>
      <c r="Q144" s="33">
        <f>IF($M$63=структура!$P$14,"",(Q$18-Q$22-Q$12)/POWER(1+$M143,Q$1))</f>
        <v>-4.2446477125474421E-11</v>
      </c>
      <c r="R144" s="33">
        <f>IF($M$63=структура!$P$14,"",(R$18-R$22-R$12)/POWER(1+$M143,R$1))</f>
        <v>7.2494056043037615E-11</v>
      </c>
      <c r="S144" s="33">
        <f>IF($M$63=структура!$P$14,"",(S$18-S$22-S$12)/POWER(1+$M143,S$1))</f>
        <v>-6.190605814041795E-11</v>
      </c>
      <c r="T144" s="33">
        <f>IF($M$63=структура!$P$14,"",(T$18-T$22-T$12)/POWER(1+$M143,T$1))</f>
        <v>-28893.958092428613</v>
      </c>
      <c r="U144" s="33">
        <f>IF($M$63=структура!$P$14,"",(U$18-U$22-U$12)/POWER(1+$M143,U$1))</f>
        <v>-9.0286881126933406E-11</v>
      </c>
      <c r="V144" s="33">
        <f>IF($M$63=структура!$P$14,"",(V$18-V$22-V$12)/POWER(1+$M143,V$1))</f>
        <v>3290.8361455190625</v>
      </c>
      <c r="W144" s="33">
        <f>IF($M$63=структура!$P$14,"",(W$18-W$22-W$12)/POWER(1+$M143,W$1))</f>
        <v>11260.3863849508</v>
      </c>
      <c r="X144" s="33">
        <f>IF($M$63=структура!$P$14,"",(X$18-X$22-X$12)/POWER(1+$M143,X$1))</f>
        <v>98198.198952860257</v>
      </c>
      <c r="Y144" s="33">
        <f>IF($M$63=структура!$P$14,"",(Y$18-Y$22-Y$12)/POWER(1+$M143,Y$1))</f>
        <v>-24079.196116570423</v>
      </c>
      <c r="Z144" s="3"/>
      <c r="AA144" s="3"/>
    </row>
    <row r="145" spans="1:27" x14ac:dyDescent="0.25">
      <c r="A145" s="3"/>
      <c r="B145" s="3"/>
      <c r="C145" s="3"/>
      <c r="D145" s="3"/>
      <c r="E145" s="55"/>
      <c r="F145" s="3"/>
      <c r="G145" s="3"/>
      <c r="H145" s="3"/>
      <c r="I145" s="3"/>
      <c r="J145" s="3"/>
      <c r="K145" s="185">
        <f t="shared" ref="K145" si="95">IF(M144&lt;=0,K143,M143)</f>
        <v>0.17103330789683974</v>
      </c>
      <c r="L145" s="185">
        <f t="shared" si="33"/>
        <v>0.1710333078969998</v>
      </c>
      <c r="M145" s="41">
        <f t="shared" ref="M145" si="96">IF(M144="","",IF(M144=0,M143,IF(L145="",M143*2,(K145+L145)/2)))</f>
        <v>0.17103330789691978</v>
      </c>
      <c r="N145" s="3"/>
      <c r="O145" s="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"/>
      <c r="AA145" s="3"/>
    </row>
    <row r="146" spans="1:27" x14ac:dyDescent="0.25">
      <c r="A146" s="3"/>
      <c r="B146" s="3"/>
      <c r="C146" s="3"/>
      <c r="D146" s="3"/>
      <c r="E146" s="55"/>
      <c r="F146" s="3"/>
      <c r="G146" s="3"/>
      <c r="H146" s="3"/>
      <c r="I146" s="3"/>
      <c r="J146" s="3"/>
      <c r="K146" s="185"/>
      <c r="L146" s="185"/>
      <c r="M146" s="63">
        <f>IF($M$63=структура!$P$14,"",SUM(O146:Z146))</f>
        <v>3.3422111300751567E-8</v>
      </c>
      <c r="N146" s="3"/>
      <c r="O146" s="3"/>
      <c r="P146" s="33">
        <f>IF($M$63=структура!$P$14,"",(P$18-P$22-P$12)/POWER(1+$M145,P$1))</f>
        <v>-59776.267274339363</v>
      </c>
      <c r="Q146" s="33">
        <f>IF($M$63=структура!$P$14,"",(Q$18-Q$22-Q$12)/POWER(1+$M145,Q$1))</f>
        <v>-4.2446477125480224E-11</v>
      </c>
      <c r="R146" s="33">
        <f>IF($M$63=структура!$P$14,"",(R$18-R$22-R$12)/POWER(1+$M145,R$1))</f>
        <v>7.2494056043052504E-11</v>
      </c>
      <c r="S146" s="33">
        <f>IF($M$63=структура!$P$14,"",(S$18-S$22-S$12)/POWER(1+$M145,S$1))</f>
        <v>-6.1906058140434881E-11</v>
      </c>
      <c r="T146" s="33">
        <f>IF($M$63=структура!$P$14,"",(T$18-T$22-T$12)/POWER(1+$M145,T$1))</f>
        <v>-28893.958092438497</v>
      </c>
      <c r="U146" s="33">
        <f>IF($M$63=структура!$P$14,"",(U$18-U$22-U$12)/POWER(1+$M145,U$1))</f>
        <v>-9.0286881126970449E-11</v>
      </c>
      <c r="V146" s="33">
        <f>IF($M$63=структура!$P$14,"",(V$18-V$22-V$12)/POWER(1+$M145,V$1))</f>
        <v>3290.8361455206382</v>
      </c>
      <c r="W146" s="33">
        <f>IF($M$63=структура!$P$14,"",(W$18-W$22-W$12)/POWER(1+$M145,W$1))</f>
        <v>11260.386384956961</v>
      </c>
      <c r="X146" s="33">
        <f>IF($M$63=структура!$P$14,"",(X$18-X$22-X$12)/POWER(1+$M145,X$1))</f>
        <v>98198.198952920706</v>
      </c>
      <c r="Y146" s="33">
        <f>IF($M$63=структура!$P$14,"",(Y$18-Y$22-Y$12)/POWER(1+$M145,Y$1))</f>
        <v>-24079.196116586889</v>
      </c>
      <c r="Z146" s="3"/>
      <c r="AA146" s="3"/>
    </row>
    <row r="147" spans="1:27" x14ac:dyDescent="0.25">
      <c r="A147" s="3"/>
      <c r="B147" s="3"/>
      <c r="C147" s="3"/>
      <c r="D147" s="3"/>
      <c r="E147" s="55"/>
      <c r="F147" s="3"/>
      <c r="G147" s="3"/>
      <c r="H147" s="3"/>
      <c r="I147" s="3"/>
      <c r="J147" s="3"/>
      <c r="K147" s="185">
        <f t="shared" ref="K147" si="97">IF(M146&lt;=0,K145,M145)</f>
        <v>0.17103330789691978</v>
      </c>
      <c r="L147" s="185">
        <f t="shared" ref="L147:L159" si="98">IF(AND(L145="",M146&lt;=0),M145,IF(AND(L145="",M146&gt;0),"",IF(M146&lt;=0,M145,L145)))</f>
        <v>0.1710333078969998</v>
      </c>
      <c r="M147" s="41">
        <f t="shared" ref="M147" si="99">IF(M146="","",IF(M146=0,M145,IF(L147="",M145*2,(K147+L147)/2)))</f>
        <v>0.17103330789695981</v>
      </c>
      <c r="N147" s="3"/>
      <c r="O147" s="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"/>
      <c r="AA147" s="3"/>
    </row>
    <row r="148" spans="1:27" x14ac:dyDescent="0.25">
      <c r="A148" s="3"/>
      <c r="B148" s="3"/>
      <c r="C148" s="3"/>
      <c r="D148" s="3"/>
      <c r="E148" s="55"/>
      <c r="F148" s="3"/>
      <c r="G148" s="3"/>
      <c r="H148" s="3"/>
      <c r="I148" s="3"/>
      <c r="J148" s="3"/>
      <c r="K148" s="185"/>
      <c r="L148" s="185"/>
      <c r="M148" s="63">
        <f>IF($M$63=структура!$P$14,"",SUM(O148:Z148))</f>
        <v>1.4515535440295935E-8</v>
      </c>
      <c r="N148" s="3"/>
      <c r="O148" s="3"/>
      <c r="P148" s="33">
        <f>IF($M$63=структура!$P$14,"",(P$18-P$22-P$12)/POWER(1+$M147,P$1))</f>
        <v>-59776.267274337311</v>
      </c>
      <c r="Q148" s="33">
        <f>IF($M$63=структура!$P$14,"",(Q$18-Q$22-Q$12)/POWER(1+$M147,Q$1))</f>
        <v>-4.2446477125477323E-11</v>
      </c>
      <c r="R148" s="33">
        <f>IF($M$63=структура!$P$14,"",(R$18-R$22-R$12)/POWER(1+$M147,R$1))</f>
        <v>7.2494056043045046E-11</v>
      </c>
      <c r="S148" s="33">
        <f>IF($M$63=структура!$P$14,"",(S$18-S$22-S$12)/POWER(1+$M147,S$1))</f>
        <v>-6.1906058140426402E-11</v>
      </c>
      <c r="T148" s="33">
        <f>IF($M$63=структура!$P$14,"",(T$18-T$22-T$12)/POWER(1+$M147,T$1))</f>
        <v>-28893.95809243355</v>
      </c>
      <c r="U148" s="33">
        <f>IF($M$63=структура!$P$14,"",(U$18-U$22-U$12)/POWER(1+$M147,U$1))</f>
        <v>-9.0286881126951902E-11</v>
      </c>
      <c r="V148" s="33">
        <f>IF($M$63=структура!$P$14,"",(V$18-V$22-V$12)/POWER(1+$M147,V$1))</f>
        <v>3290.8361455198487</v>
      </c>
      <c r="W148" s="33">
        <f>IF($M$63=структура!$P$14,"",(W$18-W$22-W$12)/POWER(1+$M147,W$1))</f>
        <v>11260.386384953876</v>
      </c>
      <c r="X148" s="33">
        <f>IF($M$63=структура!$P$14,"",(X$18-X$22-X$12)/POWER(1+$M147,X$1))</f>
        <v>98198.198952890423</v>
      </c>
      <c r="Y148" s="33">
        <f>IF($M$63=структура!$P$14,"",(Y$18-Y$22-Y$12)/POWER(1+$M147,Y$1))</f>
        <v>-24079.196116578642</v>
      </c>
      <c r="Z148" s="3"/>
      <c r="AA148" s="3"/>
    </row>
    <row r="149" spans="1:27" x14ac:dyDescent="0.25">
      <c r="A149" s="3"/>
      <c r="B149" s="3"/>
      <c r="C149" s="3"/>
      <c r="D149" s="3"/>
      <c r="E149" s="55"/>
      <c r="F149" s="3"/>
      <c r="G149" s="3"/>
      <c r="H149" s="3"/>
      <c r="I149" s="3"/>
      <c r="J149" s="3"/>
      <c r="K149" s="185">
        <f t="shared" ref="K149" si="100">IF(M148&lt;=0,K147,M147)</f>
        <v>0.17103330789695981</v>
      </c>
      <c r="L149" s="185">
        <f t="shared" si="98"/>
        <v>0.1710333078969998</v>
      </c>
      <c r="M149" s="41">
        <f t="shared" ref="M149" si="101">IF(M148="","",IF(M148=0,M147,IF(L149="",M147*2,(K149+L149)/2)))</f>
        <v>0.17103330789697979</v>
      </c>
      <c r="N149" s="3"/>
      <c r="O149" s="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"/>
      <c r="AA149" s="3"/>
    </row>
    <row r="150" spans="1:27" x14ac:dyDescent="0.25">
      <c r="A150" s="3"/>
      <c r="B150" s="3"/>
      <c r="C150" s="3"/>
      <c r="D150" s="3"/>
      <c r="E150" s="55"/>
      <c r="F150" s="3"/>
      <c r="G150" s="3"/>
      <c r="H150" s="3"/>
      <c r="I150" s="3"/>
      <c r="J150" s="3"/>
      <c r="K150" s="185"/>
      <c r="L150" s="185"/>
      <c r="M150" s="63">
        <f>IF($M$63=структура!$P$14,"",SUM(O150:Z150))</f>
        <v>5.1149982027709484E-9</v>
      </c>
      <c r="N150" s="3"/>
      <c r="O150" s="3"/>
      <c r="P150" s="33">
        <f>IF($M$63=структура!$P$14,"",(P$18-P$22-P$12)/POWER(1+$M149,P$1))</f>
        <v>-59776.267274336293</v>
      </c>
      <c r="Q150" s="33">
        <f>IF($M$63=структура!$P$14,"",(Q$18-Q$22-Q$12)/POWER(1+$M149,Q$1))</f>
        <v>-4.2446477125475869E-11</v>
      </c>
      <c r="R150" s="33">
        <f>IF($M$63=структура!$P$14,"",(R$18-R$22-R$12)/POWER(1+$M149,R$1))</f>
        <v>7.2494056043041337E-11</v>
      </c>
      <c r="S150" s="33">
        <f>IF($M$63=структура!$P$14,"",(S$18-S$22-S$12)/POWER(1+$M149,S$1))</f>
        <v>-6.1906058140422176E-11</v>
      </c>
      <c r="T150" s="33">
        <f>IF($M$63=структура!$P$14,"",(T$18-T$22-T$12)/POWER(1+$M149,T$1))</f>
        <v>-28893.958092431083</v>
      </c>
      <c r="U150" s="33">
        <f>IF($M$63=структура!$P$14,"",(U$18-U$22-U$12)/POWER(1+$M149,U$1))</f>
        <v>-9.028688112694266E-11</v>
      </c>
      <c r="V150" s="33">
        <f>IF($M$63=структура!$P$14,"",(V$18-V$22-V$12)/POWER(1+$M149,V$1))</f>
        <v>3290.8361455194558</v>
      </c>
      <c r="W150" s="33">
        <f>IF($M$63=структура!$P$14,"",(W$18-W$22-W$12)/POWER(1+$M149,W$1))</f>
        <v>11260.386384952339</v>
      </c>
      <c r="X150" s="33">
        <f>IF($M$63=структура!$P$14,"",(X$18-X$22-X$12)/POWER(1+$M149,X$1))</f>
        <v>98198.198952875362</v>
      </c>
      <c r="Y150" s="33">
        <f>IF($M$63=структура!$P$14,"",(Y$18-Y$22-Y$12)/POWER(1+$M149,Y$1))</f>
        <v>-24079.196116574538</v>
      </c>
      <c r="Z150" s="3"/>
      <c r="AA150" s="3"/>
    </row>
    <row r="151" spans="1:27" x14ac:dyDescent="0.25">
      <c r="A151" s="3"/>
      <c r="B151" s="3"/>
      <c r="C151" s="3"/>
      <c r="D151" s="3"/>
      <c r="E151" s="55"/>
      <c r="F151" s="3"/>
      <c r="G151" s="3"/>
      <c r="H151" s="3"/>
      <c r="I151" s="3"/>
      <c r="J151" s="3"/>
      <c r="K151" s="185">
        <f t="shared" ref="K151" si="102">IF(M150&lt;=0,K149,M149)</f>
        <v>0.17103330789697979</v>
      </c>
      <c r="L151" s="185">
        <f t="shared" si="98"/>
        <v>0.1710333078969998</v>
      </c>
      <c r="M151" s="41">
        <f t="shared" ref="M151" si="103">IF(M150="","",IF(M150=0,M149,IF(L151="",M149*2,(K151+L151)/2)))</f>
        <v>0.17103330789698978</v>
      </c>
      <c r="N151" s="3"/>
      <c r="O151" s="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"/>
      <c r="AA151" s="3"/>
    </row>
    <row r="152" spans="1:27" x14ac:dyDescent="0.25">
      <c r="A152" s="3"/>
      <c r="B152" s="3"/>
      <c r="C152" s="3"/>
      <c r="D152" s="3"/>
      <c r="E152" s="55"/>
      <c r="F152" s="3"/>
      <c r="G152" s="3"/>
      <c r="H152" s="3"/>
      <c r="I152" s="3"/>
      <c r="J152" s="3"/>
      <c r="K152" s="185"/>
      <c r="L152" s="185"/>
      <c r="M152" s="63">
        <f>IF($M$63=структура!$P$14,"",SUM(O152:Z152))</f>
        <v>5.056790541857481E-10</v>
      </c>
      <c r="N152" s="3"/>
      <c r="O152" s="3"/>
      <c r="P152" s="33">
        <f>IF($M$63=структура!$P$14,"",(P$18-P$22-P$12)/POWER(1+$M151,P$1))</f>
        <v>-59776.267274335791</v>
      </c>
      <c r="Q152" s="33">
        <f>IF($M$63=структура!$P$14,"",(Q$18-Q$22-Q$12)/POWER(1+$M151,Q$1))</f>
        <v>-4.2446477125475164E-11</v>
      </c>
      <c r="R152" s="33">
        <f>IF($M$63=структура!$P$14,"",(R$18-R$22-R$12)/POWER(1+$M151,R$1))</f>
        <v>7.2494056043039515E-11</v>
      </c>
      <c r="S152" s="33">
        <f>IF($M$63=структура!$P$14,"",(S$18-S$22-S$12)/POWER(1+$M151,S$1))</f>
        <v>-6.1906058140420108E-11</v>
      </c>
      <c r="T152" s="33">
        <f>IF($M$63=структура!$P$14,"",(T$18-T$22-T$12)/POWER(1+$M151,T$1))</f>
        <v>-28893.958092429879</v>
      </c>
      <c r="U152" s="33">
        <f>IF($M$63=структура!$P$14,"",(U$18-U$22-U$12)/POWER(1+$M151,U$1))</f>
        <v>-9.0286881126938124E-11</v>
      </c>
      <c r="V152" s="33">
        <f>IF($M$63=структура!$P$14,"",(V$18-V$22-V$12)/POWER(1+$M151,V$1))</f>
        <v>3290.8361455192639</v>
      </c>
      <c r="W152" s="33">
        <f>IF($M$63=структура!$P$14,"",(W$18-W$22-W$12)/POWER(1+$M151,W$1))</f>
        <v>11260.386384951586</v>
      </c>
      <c r="X152" s="33">
        <f>IF($M$63=структура!$P$14,"",(X$18-X$22-X$12)/POWER(1+$M151,X$1))</f>
        <v>98198.19895286797</v>
      </c>
      <c r="Y152" s="33">
        <f>IF($M$63=структура!$P$14,"",(Y$18-Y$22-Y$12)/POWER(1+$M151,Y$1))</f>
        <v>-24079.196116572526</v>
      </c>
      <c r="Z152" s="3"/>
      <c r="AA152" s="3"/>
    </row>
    <row r="153" spans="1:27" x14ac:dyDescent="0.25">
      <c r="A153" s="3"/>
      <c r="B153" s="3"/>
      <c r="C153" s="3"/>
      <c r="D153" s="3"/>
      <c r="E153" s="55"/>
      <c r="F153" s="3"/>
      <c r="G153" s="3"/>
      <c r="H153" s="3"/>
      <c r="I153" s="3"/>
      <c r="J153" s="3"/>
      <c r="K153" s="185">
        <f t="shared" ref="K153" si="104">IF(M152&lt;=0,K151,M151)</f>
        <v>0.17103330789698978</v>
      </c>
      <c r="L153" s="185">
        <f t="shared" si="98"/>
        <v>0.1710333078969998</v>
      </c>
      <c r="M153" s="41">
        <f t="shared" ref="M153" si="105">IF(M152="","",IF(M152=0,M151,IF(L153="",M151*2,(K153+L153)/2)))</f>
        <v>0.17103330789699478</v>
      </c>
      <c r="N153" s="3"/>
      <c r="O153" s="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"/>
      <c r="AA153" s="3"/>
    </row>
    <row r="154" spans="1:27" x14ac:dyDescent="0.25">
      <c r="A154" s="3"/>
      <c r="B154" s="3"/>
      <c r="C154" s="3"/>
      <c r="D154" s="3"/>
      <c r="E154" s="55"/>
      <c r="F154" s="3"/>
      <c r="G154" s="3"/>
      <c r="H154" s="3"/>
      <c r="I154" s="3"/>
      <c r="J154" s="3"/>
      <c r="K154" s="185"/>
      <c r="L154" s="185"/>
      <c r="M154" s="63">
        <f>IF($M$63=структура!$P$14,"",SUM(O154:Z154))</f>
        <v>-1.9026629161089659E-9</v>
      </c>
      <c r="N154" s="3"/>
      <c r="O154" s="3"/>
      <c r="P154" s="33">
        <f>IF($M$63=структура!$P$14,"",(P$18-P$22-P$12)/POWER(1+$M153,P$1))</f>
        <v>-59776.267274335536</v>
      </c>
      <c r="Q154" s="33">
        <f>IF($M$63=структура!$P$14,"",(Q$18-Q$22-Q$12)/POWER(1+$M153,Q$1))</f>
        <v>-4.2446477125474789E-11</v>
      </c>
      <c r="R154" s="33">
        <f>IF($M$63=структура!$P$14,"",(R$18-R$22-R$12)/POWER(1+$M153,R$1))</f>
        <v>7.2494056043038571E-11</v>
      </c>
      <c r="S154" s="33">
        <f>IF($M$63=структура!$P$14,"",(S$18-S$22-S$12)/POWER(1+$M153,S$1))</f>
        <v>-6.1906058140419022E-11</v>
      </c>
      <c r="T154" s="33">
        <f>IF($M$63=структура!$P$14,"",(T$18-T$22-T$12)/POWER(1+$M153,T$1))</f>
        <v>-28893.958092429242</v>
      </c>
      <c r="U154" s="33">
        <f>IF($M$63=структура!$P$14,"",(U$18-U$22-U$12)/POWER(1+$M153,U$1))</f>
        <v>-9.0286881126935772E-11</v>
      </c>
      <c r="V154" s="33">
        <f>IF($M$63=структура!$P$14,"",(V$18-V$22-V$12)/POWER(1+$M153,V$1))</f>
        <v>3290.836145519163</v>
      </c>
      <c r="W154" s="33">
        <f>IF($M$63=структура!$P$14,"",(W$18-W$22-W$12)/POWER(1+$M153,W$1))</f>
        <v>11260.386384951193</v>
      </c>
      <c r="X154" s="33">
        <f>IF($M$63=структура!$P$14,"",(X$18-X$22-X$12)/POWER(1+$M153,X$1))</f>
        <v>98198.198952864113</v>
      </c>
      <c r="Y154" s="33">
        <f>IF($M$63=структура!$P$14,"",(Y$18-Y$22-Y$12)/POWER(1+$M153,Y$1))</f>
        <v>-24079.196116571471</v>
      </c>
      <c r="Z154" s="3"/>
      <c r="AA154" s="3"/>
    </row>
    <row r="155" spans="1:27" x14ac:dyDescent="0.25">
      <c r="A155" s="3"/>
      <c r="B155" s="3"/>
      <c r="C155" s="3"/>
      <c r="D155" s="3"/>
      <c r="E155" s="55"/>
      <c r="F155" s="3"/>
      <c r="G155" s="3"/>
      <c r="H155" s="3"/>
      <c r="I155" s="3"/>
      <c r="J155" s="3"/>
      <c r="K155" s="185">
        <f t="shared" ref="K155" si="106">IF(M154&lt;=0,K153,M153)</f>
        <v>0.17103330789698978</v>
      </c>
      <c r="L155" s="185">
        <f t="shared" si="98"/>
        <v>0.17103330789699478</v>
      </c>
      <c r="M155" s="41">
        <f t="shared" ref="M155" si="107">IF(M154="","",IF(M154=0,M153,IF(L155="",M153*2,(K155+L155)/2)))</f>
        <v>0.17103330789699228</v>
      </c>
      <c r="N155" s="3"/>
      <c r="O155" s="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"/>
      <c r="AA155" s="3"/>
    </row>
    <row r="156" spans="1:27" x14ac:dyDescent="0.25">
      <c r="A156" s="3"/>
      <c r="B156" s="3"/>
      <c r="C156" s="3"/>
      <c r="D156" s="3"/>
      <c r="E156" s="55"/>
      <c r="F156" s="3"/>
      <c r="G156" s="3"/>
      <c r="H156" s="3"/>
      <c r="I156" s="3"/>
      <c r="J156" s="3"/>
      <c r="K156" s="185"/>
      <c r="L156" s="185"/>
      <c r="M156" s="63">
        <f>IF($M$63=структура!$P$14,"",SUM(O156:Z156))</f>
        <v>-7.5306161306798458E-10</v>
      </c>
      <c r="N156" s="3"/>
      <c r="O156" s="3"/>
      <c r="P156" s="33">
        <f>IF($M$63=структура!$P$14,"",(P$18-P$22-P$12)/POWER(1+$M155,P$1))</f>
        <v>-59776.26727433566</v>
      </c>
      <c r="Q156" s="33">
        <f>IF($M$63=структура!$P$14,"",(Q$18-Q$22-Q$12)/POWER(1+$M155,Q$1))</f>
        <v>-4.244647712547497E-11</v>
      </c>
      <c r="R156" s="33">
        <f>IF($M$63=структура!$P$14,"",(R$18-R$22-R$12)/POWER(1+$M155,R$1))</f>
        <v>7.2494056043039023E-11</v>
      </c>
      <c r="S156" s="33">
        <f>IF($M$63=структура!$P$14,"",(S$18-S$22-S$12)/POWER(1+$M155,S$1))</f>
        <v>-6.1906058140419539E-11</v>
      </c>
      <c r="T156" s="33">
        <f>IF($M$63=структура!$P$14,"",(T$18-T$22-T$12)/POWER(1+$M155,T$1))</f>
        <v>-28893.958092429544</v>
      </c>
      <c r="U156" s="33">
        <f>IF($M$63=структура!$P$14,"",(U$18-U$22-U$12)/POWER(1+$M155,U$1))</f>
        <v>-9.0286881126936896E-11</v>
      </c>
      <c r="V156" s="33">
        <f>IF($M$63=структура!$P$14,"",(V$18-V$22-V$12)/POWER(1+$M155,V$1))</f>
        <v>3290.8361455192116</v>
      </c>
      <c r="W156" s="33">
        <f>IF($M$63=структура!$P$14,"",(W$18-W$22-W$12)/POWER(1+$M155,W$1))</f>
        <v>11260.386384951382</v>
      </c>
      <c r="X156" s="33">
        <f>IF($M$63=структура!$P$14,"",(X$18-X$22-X$12)/POWER(1+$M155,X$1))</f>
        <v>98198.198952865961</v>
      </c>
      <c r="Y156" s="33">
        <f>IF($M$63=структура!$P$14,"",(Y$18-Y$22-Y$12)/POWER(1+$M155,Y$1))</f>
        <v>-24079.19611657198</v>
      </c>
      <c r="Z156" s="3"/>
      <c r="AA156" s="3"/>
    </row>
    <row r="157" spans="1:27" x14ac:dyDescent="0.25">
      <c r="A157" s="3"/>
      <c r="B157" s="3"/>
      <c r="C157" s="3"/>
      <c r="D157" s="3"/>
      <c r="E157" s="55"/>
      <c r="F157" s="3"/>
      <c r="G157" s="3"/>
      <c r="H157" s="3"/>
      <c r="I157" s="3"/>
      <c r="J157" s="3"/>
      <c r="K157" s="185">
        <f t="shared" ref="K157" si="108">IF(M156&lt;=0,K155,M155)</f>
        <v>0.17103330789698978</v>
      </c>
      <c r="L157" s="185">
        <f t="shared" si="98"/>
        <v>0.17103330789699228</v>
      </c>
      <c r="M157" s="41">
        <f t="shared" ref="M157" si="109">IF(M156="","",IF(M156=0,M155,IF(L157="",M155*2,(K157+L157)/2)))</f>
        <v>0.17103330789699103</v>
      </c>
      <c r="N157" s="3"/>
      <c r="O157" s="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"/>
      <c r="AA157" s="3"/>
    </row>
    <row r="158" spans="1:27" x14ac:dyDescent="0.25">
      <c r="A158" s="3"/>
      <c r="B158" s="3"/>
      <c r="C158" s="3"/>
      <c r="D158" s="3"/>
      <c r="E158" s="55"/>
      <c r="F158" s="3"/>
      <c r="G158" s="3"/>
      <c r="H158" s="3"/>
      <c r="I158" s="3"/>
      <c r="J158" s="3"/>
      <c r="K158" s="185"/>
      <c r="L158" s="185"/>
      <c r="M158" s="63">
        <f>IF($M$63=структура!$P$14,"",SUM(O158:Z158))</f>
        <v>-1.127773430198431E-10</v>
      </c>
      <c r="N158" s="3"/>
      <c r="O158" s="3"/>
      <c r="P158" s="33">
        <f>IF($M$63=структура!$P$14,"",(P$18-P$22-P$12)/POWER(1+$M157,P$1))</f>
        <v>-59776.267274335725</v>
      </c>
      <c r="Q158" s="33">
        <f>IF($M$63=структура!$P$14,"",(Q$18-Q$22-Q$12)/POWER(1+$M157,Q$1))</f>
        <v>-4.2446477125475067E-11</v>
      </c>
      <c r="R158" s="33">
        <f>IF($M$63=структура!$P$14,"",(R$18-R$22-R$12)/POWER(1+$M157,R$1))</f>
        <v>7.2494056043039269E-11</v>
      </c>
      <c r="S158" s="33">
        <f>IF($M$63=структура!$P$14,"",(S$18-S$22-S$12)/POWER(1+$M157,S$1))</f>
        <v>-6.1906058140419824E-11</v>
      </c>
      <c r="T158" s="33">
        <f>IF($M$63=структура!$P$14,"",(T$18-T$22-T$12)/POWER(1+$M157,T$1))</f>
        <v>-28893.958092429715</v>
      </c>
      <c r="U158" s="33">
        <f>IF($M$63=структура!$P$14,"",(U$18-U$22-U$12)/POWER(1+$M157,U$1))</f>
        <v>-9.0286881126937529E-11</v>
      </c>
      <c r="V158" s="33">
        <f>IF($M$63=структура!$P$14,"",(V$18-V$22-V$12)/POWER(1+$M157,V$1))</f>
        <v>3290.8361455192376</v>
      </c>
      <c r="W158" s="33">
        <f>IF($M$63=структура!$P$14,"",(W$18-W$22-W$12)/POWER(1+$M157,W$1))</f>
        <v>11260.386384951486</v>
      </c>
      <c r="X158" s="33">
        <f>IF($M$63=структура!$P$14,"",(X$18-X$22-X$12)/POWER(1+$M157,X$1))</f>
        <v>98198.19895286698</v>
      </c>
      <c r="Y158" s="33">
        <f>IF($M$63=структура!$P$14,"",(Y$18-Y$22-Y$12)/POWER(1+$M157,Y$1))</f>
        <v>-24079.196116572257</v>
      </c>
      <c r="Z158" s="3"/>
      <c r="AA158" s="3"/>
    </row>
    <row r="159" spans="1:27" x14ac:dyDescent="0.25">
      <c r="A159" s="3"/>
      <c r="B159" s="3"/>
      <c r="C159" s="3"/>
      <c r="D159" s="3"/>
      <c r="E159" s="55"/>
      <c r="F159" s="3"/>
      <c r="G159" s="3"/>
      <c r="H159" s="3"/>
      <c r="I159" s="3"/>
      <c r="J159" s="3"/>
      <c r="K159" s="185">
        <f t="shared" ref="K159" si="110">IF(M158&lt;=0,K157,M157)</f>
        <v>0.17103330789698978</v>
      </c>
      <c r="L159" s="185">
        <f t="shared" si="98"/>
        <v>0.17103330789699103</v>
      </c>
      <c r="M159" s="41">
        <f t="shared" ref="M159" si="111">IF(M158="","",IF(M158=0,M157,IF(L159="",M157*2,(K159+L159)/2)))</f>
        <v>0.17103330789699039</v>
      </c>
      <c r="N159" s="3"/>
      <c r="O159" s="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"/>
      <c r="AA159" s="3"/>
    </row>
    <row r="160" spans="1:27" x14ac:dyDescent="0.25">
      <c r="A160" s="3"/>
      <c r="B160" s="3"/>
      <c r="C160" s="3"/>
      <c r="D160" s="3"/>
      <c r="E160" s="55"/>
      <c r="F160" s="3"/>
      <c r="G160" s="3"/>
      <c r="H160" s="3"/>
      <c r="I160" s="3"/>
      <c r="J160" s="3"/>
      <c r="K160" s="185"/>
      <c r="L160" s="185"/>
      <c r="M160" s="63">
        <f>IF($M$63=структура!$P$14,"",SUM(O160:Z160))</f>
        <v>2.0736479200422764E-10</v>
      </c>
      <c r="N160" s="3"/>
      <c r="O160" s="3"/>
      <c r="P160" s="33">
        <f>IF($M$63=структура!$P$14,"",(P$18-P$22-P$12)/POWER(1+$M159,P$1))</f>
        <v>-59776.267274335762</v>
      </c>
      <c r="Q160" s="33">
        <f>IF($M$63=структура!$P$14,"",(Q$18-Q$22-Q$12)/POWER(1+$M159,Q$1))</f>
        <v>-4.2446477125475113E-11</v>
      </c>
      <c r="R160" s="33">
        <f>IF($M$63=структура!$P$14,"",(R$18-R$22-R$12)/POWER(1+$M159,R$1))</f>
        <v>7.2494056043039398E-11</v>
      </c>
      <c r="S160" s="33">
        <f>IF($M$63=структура!$P$14,"",(S$18-S$22-S$12)/POWER(1+$M159,S$1))</f>
        <v>-6.1906058140419966E-11</v>
      </c>
      <c r="T160" s="33">
        <f>IF($M$63=структура!$P$14,"",(T$18-T$22-T$12)/POWER(1+$M159,T$1))</f>
        <v>-28893.958092429795</v>
      </c>
      <c r="U160" s="33">
        <f>IF($M$63=структура!$P$14,"",(U$18-U$22-U$12)/POWER(1+$M159,U$1))</f>
        <v>-9.028688112693784E-11</v>
      </c>
      <c r="V160" s="33">
        <f>IF($M$63=структура!$P$14,"",(V$18-V$22-V$12)/POWER(1+$M159,V$1))</f>
        <v>3290.8361455192507</v>
      </c>
      <c r="W160" s="33">
        <f>IF($M$63=структура!$P$14,"",(W$18-W$22-W$12)/POWER(1+$M159,W$1))</f>
        <v>11260.386384951536</v>
      </c>
      <c r="X160" s="33">
        <f>IF($M$63=структура!$P$14,"",(X$18-X$22-X$12)/POWER(1+$M159,X$1))</f>
        <v>98198.198952867489</v>
      </c>
      <c r="Y160" s="33">
        <f>IF($M$63=структура!$P$14,"",(Y$18-Y$22-Y$12)/POWER(1+$M159,Y$1))</f>
        <v>-24079.196116572388</v>
      </c>
      <c r="Z160" s="3"/>
      <c r="AA160" s="3"/>
    </row>
    <row r="161" spans="1:27" s="11" customFormat="1" x14ac:dyDescent="0.25">
      <c r="A161" s="10"/>
      <c r="B161" s="10"/>
      <c r="C161" s="10"/>
      <c r="D161" s="10"/>
      <c r="E161" s="139"/>
      <c r="F161" s="10" t="str">
        <f>структура!$P$16</f>
        <v>Расчет средней ставки дисконтирования проекта</v>
      </c>
      <c r="G161" s="10"/>
      <c r="H161" s="10"/>
      <c r="I161" s="10"/>
      <c r="J161" s="10"/>
      <c r="K161" s="186">
        <f>M161</f>
        <v>0</v>
      </c>
      <c r="L161" s="186"/>
      <c r="M161" s="45">
        <v>0</v>
      </c>
      <c r="N161" s="10"/>
      <c r="O161" s="10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0"/>
      <c r="AA161" s="10"/>
    </row>
    <row r="162" spans="1:27" x14ac:dyDescent="0.25">
      <c r="A162" s="3"/>
      <c r="B162" s="3"/>
      <c r="C162" s="3"/>
      <c r="D162" s="3"/>
      <c r="E162" s="55"/>
      <c r="F162" s="3"/>
      <c r="G162" s="3"/>
      <c r="H162" s="3"/>
      <c r="I162" s="3"/>
      <c r="J162" s="3"/>
      <c r="K162" s="185"/>
      <c r="L162" s="185"/>
      <c r="M162" s="63">
        <f>SUM(O162:Z162)-$M$29</f>
        <v>147719.90751434478</v>
      </c>
      <c r="N162" s="3"/>
      <c r="O162" s="3"/>
      <c r="P162" s="33">
        <f t="shared" ref="P162:Y162" si="112">(P$18-P$22-P$12)/POWER(1+$M161,P$1)</f>
        <v>-70000.000000000015</v>
      </c>
      <c r="Q162" s="33">
        <f t="shared" si="112"/>
        <v>-5.8207660913467407E-11</v>
      </c>
      <c r="R162" s="33">
        <f t="shared" si="112"/>
        <v>1.1641532182693481E-10</v>
      </c>
      <c r="S162" s="33">
        <f t="shared" si="112"/>
        <v>-1.1641532182693481E-10</v>
      </c>
      <c r="T162" s="33">
        <f t="shared" si="112"/>
        <v>-63628.733420000019</v>
      </c>
      <c r="U162" s="33">
        <f t="shared" si="112"/>
        <v>-2.3283064365386963E-10</v>
      </c>
      <c r="V162" s="33">
        <f t="shared" si="112"/>
        <v>9937.8169854381122</v>
      </c>
      <c r="W162" s="33">
        <f t="shared" si="112"/>
        <v>39820.552061045702</v>
      </c>
      <c r="X162" s="33">
        <f t="shared" si="112"/>
        <v>406655.59703460359</v>
      </c>
      <c r="Y162" s="33">
        <f t="shared" si="112"/>
        <v>-116770.85590533027</v>
      </c>
      <c r="Z162" s="3"/>
      <c r="AA162" s="3"/>
    </row>
    <row r="163" spans="1:27" x14ac:dyDescent="0.25">
      <c r="A163" s="3"/>
      <c r="B163" s="3"/>
      <c r="C163" s="3"/>
      <c r="D163" s="3"/>
      <c r="E163" s="55"/>
      <c r="F163" s="3"/>
      <c r="G163" s="3"/>
      <c r="H163" s="3"/>
      <c r="I163" s="3"/>
      <c r="J163" s="3"/>
      <c r="K163" s="185">
        <f>K161</f>
        <v>0</v>
      </c>
      <c r="L163" s="185"/>
      <c r="M163" s="184">
        <f>IF(M162=0,0,AVERAGE(условия!$T$188:$AC$188))</f>
        <v>8.7999999999999995E-2</v>
      </c>
      <c r="N163" s="3"/>
      <c r="O163" s="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"/>
      <c r="AA163" s="3"/>
    </row>
    <row r="164" spans="1:27" x14ac:dyDescent="0.25">
      <c r="A164" s="3"/>
      <c r="B164" s="3"/>
      <c r="C164" s="3"/>
      <c r="D164" s="3"/>
      <c r="E164" s="55"/>
      <c r="F164" s="3"/>
      <c r="G164" s="3"/>
      <c r="H164" s="3"/>
      <c r="I164" s="3"/>
      <c r="J164" s="3"/>
      <c r="K164" s="185"/>
      <c r="L164" s="185"/>
      <c r="M164" s="63">
        <f>IF($M$63=структура!$P$14,"",SUM(O164:Z164)-$M$29)</f>
        <v>1535.0686270349834</v>
      </c>
      <c r="N164" s="3"/>
      <c r="O164" s="3"/>
      <c r="P164" s="33">
        <f>IF($M$63=структура!$P$14,"",(P$18-P$22-P$12)/POWER(1+$M163,P$1))</f>
        <v>-64338.235294117658</v>
      </c>
      <c r="Q164" s="33">
        <f>IF($M$63=структура!$P$14,"",(Q$18-Q$22-Q$12)/POWER(1+$M163,Q$1))</f>
        <v>-4.9172507665058831E-11</v>
      </c>
      <c r="R164" s="33">
        <f>IF($M$63=структура!$P$14,"",(R$18-R$22-R$12)/POWER(1+$M163,R$1))</f>
        <v>9.0390639090181671E-11</v>
      </c>
      <c r="S164" s="33">
        <f>IF($M$63=структура!$P$14,"",(S$18-S$22-S$12)/POWER(1+$M163,S$1))</f>
        <v>-8.3079631516711087E-11</v>
      </c>
      <c r="T164" s="33">
        <f>IF($M$63=структура!$P$14,"",(T$18-T$22-T$12)/POWER(1+$M163,T$1))</f>
        <v>-41735.805667920315</v>
      </c>
      <c r="U164" s="33">
        <f>IF($M$63=структура!$P$14,"",(U$18-U$22-U$12)/POWER(1+$M163,U$1))</f>
        <v>-1.4036756514366464E-10</v>
      </c>
      <c r="V164" s="33">
        <f>IF($M$63=структура!$P$14,"",(V$18-V$22-V$12)/POWER(1+$M163,V$1))</f>
        <v>5506.6658897667267</v>
      </c>
      <c r="W164" s="33">
        <f>IF($M$63=структура!$P$14,"",(W$18-W$22-W$12)/POWER(1+$M163,W$1))</f>
        <v>20280.381191749708</v>
      </c>
      <c r="X164" s="33">
        <f>IF($M$63=структура!$P$14,"",(X$18-X$22-X$12)/POWER(1+$M163,X$1))</f>
        <v>190356.05504409529</v>
      </c>
      <c r="Y164" s="33">
        <f>IF($M$63=структура!$P$14,"",(Y$18-Y$22-Y$12)/POWER(1+$M163,Y$1))</f>
        <v>-50239.523295126579</v>
      </c>
      <c r="Z164" s="3"/>
      <c r="AA164" s="3"/>
    </row>
    <row r="165" spans="1:27" x14ac:dyDescent="0.25">
      <c r="A165" s="3"/>
      <c r="B165" s="3"/>
      <c r="C165" s="3"/>
      <c r="D165" s="3"/>
      <c r="E165" s="55"/>
      <c r="F165" s="3"/>
      <c r="G165" s="3"/>
      <c r="H165" s="3"/>
      <c r="I165" s="3"/>
      <c r="J165" s="3"/>
      <c r="K165" s="185">
        <f>IF(M164&lt;=0,K163,M163)</f>
        <v>8.7999999999999995E-2</v>
      </c>
      <c r="L165" s="185" t="str">
        <f>IF(AND(L163="",M164&lt;=0),M163,IF(AND(L163="",M164&gt;0),"",IF(M164&lt;=0,M163,L163)))</f>
        <v/>
      </c>
      <c r="M165" s="41">
        <f>IF(M164="","",IF(M164=0,M163,IF(L165="",M163*2,(K165+L165)/2)))</f>
        <v>0.17599999999999999</v>
      </c>
      <c r="N165" s="3"/>
      <c r="O165" s="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"/>
      <c r="AA165" s="3"/>
    </row>
    <row r="166" spans="1:27" x14ac:dyDescent="0.25">
      <c r="A166" s="3"/>
      <c r="B166" s="3"/>
      <c r="C166" s="3"/>
      <c r="D166" s="3"/>
      <c r="E166" s="55"/>
      <c r="F166" s="3"/>
      <c r="G166" s="3"/>
      <c r="H166" s="3"/>
      <c r="I166" s="3"/>
      <c r="J166" s="3"/>
      <c r="K166" s="185"/>
      <c r="L166" s="185"/>
      <c r="M166" s="63">
        <f>IF($M$63=структура!$P$14,"",SUM(O166:Z166)-$M$29)</f>
        <v>-60580.206740970621</v>
      </c>
      <c r="N166" s="3"/>
      <c r="O166" s="3"/>
      <c r="P166" s="33">
        <f>IF($M$63=структура!$P$14,"",(P$18-P$22-P$12)/POWER(1+$M165,P$1))</f>
        <v>-59523.809523809541</v>
      </c>
      <c r="Q166" s="33">
        <f>IF($M$63=структура!$P$14,"",(Q$18-Q$22-Q$12)/POWER(1+$M165,Q$1))</f>
        <v>-4.2088699235176475E-11</v>
      </c>
      <c r="R166" s="33">
        <f>IF($M$63=структура!$P$14,"",(R$18-R$22-R$12)/POWER(1+$M165,R$1))</f>
        <v>7.1579420467987204E-11</v>
      </c>
      <c r="S166" s="33">
        <f>IF($M$63=структура!$P$14,"",(S$18-S$22-S$12)/POWER(1+$M165,S$1))</f>
        <v>-6.0866854139444904E-11</v>
      </c>
      <c r="T166" s="33">
        <f>IF($M$63=структура!$P$14,"",(T$18-T$22-T$12)/POWER(1+$M165,T$1))</f>
        <v>-28288.939681260646</v>
      </c>
      <c r="U166" s="33">
        <f>IF($M$63=структура!$P$14,"",(U$18-U$22-U$12)/POWER(1+$M165,U$1))</f>
        <v>-8.8023008554660261E-11</v>
      </c>
      <c r="V166" s="33">
        <f>IF($M$63=структура!$P$14,"",(V$18-V$22-V$12)/POWER(1+$M165,V$1))</f>
        <v>3194.7710647676986</v>
      </c>
      <c r="W166" s="33">
        <f>IF($M$63=структура!$P$14,"",(W$18-W$22-W$12)/POWER(1+$M165,W$1))</f>
        <v>10885.50803609333</v>
      </c>
      <c r="X166" s="33">
        <f>IF($M$63=структура!$P$14,"",(X$18-X$22-X$12)/POWER(1+$M165,X$1))</f>
        <v>94528.084705176661</v>
      </c>
      <c r="Y166" s="33">
        <f>IF($M$63=структура!$P$14,"",(Y$18-Y$22-Y$12)/POWER(1+$M165,Y$1))</f>
        <v>-23081.352100526012</v>
      </c>
      <c r="Z166" s="3"/>
      <c r="AA166" s="3"/>
    </row>
    <row r="167" spans="1:27" x14ac:dyDescent="0.25">
      <c r="A167" s="3"/>
      <c r="B167" s="3"/>
      <c r="C167" s="3"/>
      <c r="D167" s="3"/>
      <c r="E167" s="55"/>
      <c r="F167" s="3"/>
      <c r="G167" s="3"/>
      <c r="H167" s="3"/>
      <c r="I167" s="3"/>
      <c r="J167" s="3"/>
      <c r="K167" s="185">
        <f t="shared" ref="K167" si="113">IF(M166&lt;=0,K165,M165)</f>
        <v>8.7999999999999995E-2</v>
      </c>
      <c r="L167" s="185">
        <f t="shared" ref="L167:L229" si="114">IF(AND(L165="",M166&lt;=0),M165,IF(AND(L165="",M166&gt;0),"",IF(M166&lt;=0,M165,L165)))</f>
        <v>0.17599999999999999</v>
      </c>
      <c r="M167" s="41">
        <f t="shared" ref="M167" si="115">IF(M166="","",IF(M166=0,M165,IF(L167="",M165*2,(K167+L167)/2)))</f>
        <v>0.13200000000000001</v>
      </c>
      <c r="N167" s="3"/>
      <c r="O167" s="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"/>
      <c r="AA167" s="3"/>
    </row>
    <row r="168" spans="1:27" x14ac:dyDescent="0.25">
      <c r="A168" s="3"/>
      <c r="B168" s="3"/>
      <c r="C168" s="3"/>
      <c r="D168" s="3"/>
      <c r="E168" s="55"/>
      <c r="F168" s="3"/>
      <c r="G168" s="3"/>
      <c r="H168" s="3"/>
      <c r="I168" s="3"/>
      <c r="J168" s="3"/>
      <c r="K168" s="185"/>
      <c r="L168" s="185"/>
      <c r="M168" s="63">
        <f>IF($M$63=структура!$P$14,"",SUM(O168:Z168)-$M$29)</f>
        <v>-35986.625974196351</v>
      </c>
      <c r="N168" s="3"/>
      <c r="O168" s="3"/>
      <c r="P168" s="33">
        <f>IF($M$63=структура!$P$14,"",(P$18-P$22-P$12)/POWER(1+$M167,P$1))</f>
        <v>-61837.455830388702</v>
      </c>
      <c r="Q168" s="33">
        <f>IF($M$63=структура!$P$14,"",(Q$18-Q$22-Q$12)/POWER(1+$M167,Q$1))</f>
        <v>-4.5424200665406139E-11</v>
      </c>
      <c r="R168" s="33">
        <f>IF($M$63=структура!$P$14,"",(R$18-R$22-R$12)/POWER(1+$M167,R$1))</f>
        <v>8.0254771493650418E-11</v>
      </c>
      <c r="S168" s="33">
        <f>IF($M$63=структура!$P$14,"",(S$18-S$22-S$12)/POWER(1+$M167,S$1))</f>
        <v>-7.0896441248807775E-11</v>
      </c>
      <c r="T168" s="33">
        <f>IF($M$63=структура!$P$14,"",(T$18-T$22-T$12)/POWER(1+$M167,T$1))</f>
        <v>-34231.122769567388</v>
      </c>
      <c r="U168" s="33">
        <f>IF($M$63=структура!$P$14,"",(U$18-U$22-U$12)/POWER(1+$M167,U$1))</f>
        <v>-1.1065258844661524E-10</v>
      </c>
      <c r="V168" s="33">
        <f>IF($M$63=структура!$P$14,"",(V$18-V$22-V$12)/POWER(1+$M167,V$1))</f>
        <v>4172.2085291639851</v>
      </c>
      <c r="W168" s="33">
        <f>IF($M$63=структура!$P$14,"",(W$18-W$22-W$12)/POWER(1+$M167,W$1))</f>
        <v>14768.482130573697</v>
      </c>
      <c r="X168" s="33">
        <f>IF($M$63=структура!$P$14,"",(X$18-X$22-X$12)/POWER(1+$M167,X$1))</f>
        <v>133232.11201613181</v>
      </c>
      <c r="Y168" s="33">
        <f>IF($M$63=структура!$P$14,"",(Y$18-Y$22-Y$12)/POWER(1+$M167,Y$1))</f>
        <v>-33796.380808697599</v>
      </c>
      <c r="Z168" s="3"/>
      <c r="AA168" s="3"/>
    </row>
    <row r="169" spans="1:27" x14ac:dyDescent="0.25">
      <c r="A169" s="3"/>
      <c r="B169" s="3"/>
      <c r="C169" s="3"/>
      <c r="D169" s="3"/>
      <c r="E169" s="55"/>
      <c r="F169" s="3"/>
      <c r="G169" s="3"/>
      <c r="H169" s="3"/>
      <c r="I169" s="3"/>
      <c r="J169" s="3"/>
      <c r="K169" s="185">
        <f t="shared" ref="K169" si="116">IF(M168&lt;=0,K167,M167)</f>
        <v>8.7999999999999995E-2</v>
      </c>
      <c r="L169" s="185">
        <f t="shared" si="114"/>
        <v>0.13200000000000001</v>
      </c>
      <c r="M169" s="41">
        <f t="shared" ref="M169" si="117">IF(M168="","",IF(M168=0,M167,IF(L169="",M167*2,(K169+L169)/2)))</f>
        <v>0.11</v>
      </c>
      <c r="N169" s="3"/>
      <c r="O169" s="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"/>
      <c r="AA169" s="3"/>
    </row>
    <row r="170" spans="1:27" x14ac:dyDescent="0.25">
      <c r="A170" s="3"/>
      <c r="B170" s="3"/>
      <c r="C170" s="3"/>
      <c r="D170" s="3"/>
      <c r="E170" s="55"/>
      <c r="F170" s="3"/>
      <c r="G170" s="3"/>
      <c r="H170" s="3"/>
      <c r="I170" s="3"/>
      <c r="J170" s="3"/>
      <c r="K170" s="185"/>
      <c r="L170" s="185"/>
      <c r="M170" s="63">
        <f>IF($M$63=структура!$P$14,"",SUM(O170:Z170)-$M$29)</f>
        <v>-19205.399579482917</v>
      </c>
      <c r="N170" s="3"/>
      <c r="O170" s="3"/>
      <c r="P170" s="33">
        <f>IF($M$63=структура!$P$14,"",(P$18-P$22-P$12)/POWER(1+$M169,P$1))</f>
        <v>-63063.063063063069</v>
      </c>
      <c r="Q170" s="33">
        <f>IF($M$63=структура!$P$14,"",(Q$18-Q$22-Q$12)/POWER(1+$M169,Q$1))</f>
        <v>-4.7242643384033273E-11</v>
      </c>
      <c r="R170" s="33">
        <f>IF($M$63=структура!$P$14,"",(R$18-R$22-R$12)/POWER(1+$M169,R$1))</f>
        <v>8.5121879971231122E-11</v>
      </c>
      <c r="S170" s="33">
        <f>IF($M$63=структура!$P$14,"",(S$18-S$22-S$12)/POWER(1+$M169,S$1))</f>
        <v>-7.6686378352460469E-11</v>
      </c>
      <c r="T170" s="33">
        <f>IF($M$63=структура!$P$14,"",(T$18-T$22-T$12)/POWER(1+$M169,T$1))</f>
        <v>-37760.556350783001</v>
      </c>
      <c r="U170" s="33">
        <f>IF($M$63=структура!$P$14,"",(U$18-U$22-U$12)/POWER(1+$M169,U$1))</f>
        <v>-1.2448076999019634E-10</v>
      </c>
      <c r="V170" s="33">
        <f>IF($M$63=структура!$P$14,"",(V$18-V$22-V$12)/POWER(1+$M169,V$1))</f>
        <v>4786.6331369297532</v>
      </c>
      <c r="W170" s="33">
        <f>IF($M$63=структура!$P$14,"",(W$18-W$22-W$12)/POWER(1+$M169,W$1))</f>
        <v>17279.192636502492</v>
      </c>
      <c r="X170" s="33">
        <f>IF($M$63=структура!$P$14,"",(X$18-X$22-X$12)/POWER(1+$M169,X$1))</f>
        <v>158971.7463254102</v>
      </c>
      <c r="Y170" s="33">
        <f>IF($M$63=структура!$P$14,"",(Y$18-Y$22-Y$12)/POWER(1+$M169,Y$1))</f>
        <v>-41124.883023067123</v>
      </c>
      <c r="Z170" s="3"/>
      <c r="AA170" s="3"/>
    </row>
    <row r="171" spans="1:27" x14ac:dyDescent="0.25">
      <c r="A171" s="3"/>
      <c r="B171" s="3"/>
      <c r="C171" s="3"/>
      <c r="D171" s="3"/>
      <c r="E171" s="55"/>
      <c r="F171" s="3"/>
      <c r="G171" s="3"/>
      <c r="H171" s="3"/>
      <c r="I171" s="3"/>
      <c r="J171" s="3"/>
      <c r="K171" s="185">
        <f t="shared" ref="K171" si="118">IF(M170&lt;=0,K169,M169)</f>
        <v>8.7999999999999995E-2</v>
      </c>
      <c r="L171" s="185">
        <f t="shared" si="114"/>
        <v>0.11</v>
      </c>
      <c r="M171" s="41">
        <f t="shared" ref="M171" si="119">IF(M170="","",IF(M170=0,M169,IF(L171="",M169*2,(K171+L171)/2)))</f>
        <v>9.9000000000000005E-2</v>
      </c>
      <c r="N171" s="3"/>
      <c r="O171" s="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"/>
      <c r="AA171" s="3"/>
    </row>
    <row r="172" spans="1:27" x14ac:dyDescent="0.25">
      <c r="A172" s="3"/>
      <c r="B172" s="3"/>
      <c r="C172" s="3"/>
      <c r="D172" s="3"/>
      <c r="E172" s="55"/>
      <c r="F172" s="3"/>
      <c r="G172" s="3"/>
      <c r="H172" s="3"/>
      <c r="I172" s="3"/>
      <c r="J172" s="3"/>
      <c r="K172" s="185"/>
      <c r="L172" s="185"/>
      <c r="M172" s="63">
        <f>IF($M$63=структура!$P$14,"",SUM(O172:Z172)-$M$29)</f>
        <v>-9385.1611943105527</v>
      </c>
      <c r="N172" s="3"/>
      <c r="O172" s="3"/>
      <c r="P172" s="33">
        <f>IF($M$63=структура!$P$14,"",(P$18-P$22-P$12)/POWER(1+$M171,P$1))</f>
        <v>-63694.267515923581</v>
      </c>
      <c r="Q172" s="33">
        <f>IF($M$63=структура!$P$14,"",(Q$18-Q$22-Q$12)/POWER(1+$M171,Q$1))</f>
        <v>-4.8193088856084251E-11</v>
      </c>
      <c r="R172" s="33">
        <f>IF($M$63=структура!$P$14,"",(R$18-R$22-R$12)/POWER(1+$M171,R$1))</f>
        <v>8.7703528400517298E-11</v>
      </c>
      <c r="S172" s="33">
        <f>IF($M$63=структура!$P$14,"",(S$18-S$22-S$12)/POWER(1+$M171,S$1))</f>
        <v>-7.9803028571899261E-11</v>
      </c>
      <c r="T172" s="33">
        <f>IF($M$63=структура!$P$14,"",(T$18-T$22-T$12)/POWER(1+$M171,T$1))</f>
        <v>-39688.511960637581</v>
      </c>
      <c r="U172" s="33">
        <f>IF($M$63=структура!$P$14,"",(U$18-U$22-U$12)/POWER(1+$M171,U$1))</f>
        <v>-1.3214598857245403E-10</v>
      </c>
      <c r="V172" s="33">
        <f>IF($M$63=структура!$P$14,"",(V$18-V$22-V$12)/POWER(1+$M171,V$1))</f>
        <v>5132.242249838624</v>
      </c>
      <c r="W172" s="33">
        <f>IF($M$63=структура!$P$14,"",(W$18-W$22-W$12)/POWER(1+$M171,W$1))</f>
        <v>18712.238201532778</v>
      </c>
      <c r="X172" s="33">
        <f>IF($M$63=структура!$P$14,"",(X$18-X$22-X$12)/POWER(1+$M171,X$1))</f>
        <v>173879.15553088687</v>
      </c>
      <c r="Y172" s="33">
        <f>IF($M$63=структура!$P$14,"",(Y$18-Y$22-Y$12)/POWER(1+$M171,Y$1))</f>
        <v>-45431.548458595484</v>
      </c>
      <c r="Z172" s="3"/>
      <c r="AA172" s="3"/>
    </row>
    <row r="173" spans="1:27" x14ac:dyDescent="0.25">
      <c r="A173" s="3"/>
      <c r="B173" s="3"/>
      <c r="C173" s="3"/>
      <c r="D173" s="3"/>
      <c r="E173" s="55"/>
      <c r="F173" s="3"/>
      <c r="G173" s="3"/>
      <c r="H173" s="3"/>
      <c r="I173" s="3"/>
      <c r="J173" s="3"/>
      <c r="K173" s="185">
        <f t="shared" ref="K173" si="120">IF(M172&lt;=0,K171,M171)</f>
        <v>8.7999999999999995E-2</v>
      </c>
      <c r="L173" s="185">
        <f t="shared" si="114"/>
        <v>9.9000000000000005E-2</v>
      </c>
      <c r="M173" s="41">
        <f t="shared" ref="M173" si="121">IF(M172="","",IF(M172=0,M171,IF(L173="",M171*2,(K173+L173)/2)))</f>
        <v>9.35E-2</v>
      </c>
      <c r="N173" s="3"/>
      <c r="O173" s="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"/>
      <c r="AA173" s="3"/>
    </row>
    <row r="174" spans="1:27" x14ac:dyDescent="0.25">
      <c r="A174" s="3"/>
      <c r="B174" s="3"/>
      <c r="C174" s="3"/>
      <c r="D174" s="3"/>
      <c r="E174" s="55"/>
      <c r="F174" s="3"/>
      <c r="G174" s="3"/>
      <c r="H174" s="3"/>
      <c r="I174" s="3"/>
      <c r="J174" s="3"/>
      <c r="K174" s="185"/>
      <c r="L174" s="185"/>
      <c r="M174" s="63">
        <f>IF($M$63=структура!$P$14,"",SUM(O174:Z174)-$M$29)</f>
        <v>-4070.1512580913841</v>
      </c>
      <c r="N174" s="3"/>
      <c r="O174" s="3"/>
      <c r="P174" s="33">
        <f>IF($M$63=структура!$P$14,"",(P$18-P$22-P$12)/POWER(1+$M173,P$1))</f>
        <v>-64014.631915866499</v>
      </c>
      <c r="Q174" s="33">
        <f>IF($M$63=структура!$P$14,"",(Q$18-Q$22-Q$12)/POWER(1+$M173,Q$1))</f>
        <v>-4.8679103639155854E-11</v>
      </c>
      <c r="R174" s="33">
        <f>IF($M$63=структура!$P$14,"",(R$18-R$22-R$12)/POWER(1+$M173,R$1))</f>
        <v>8.9033568612996546E-11</v>
      </c>
      <c r="S174" s="33">
        <f>IF($M$63=структура!$P$14,"",(S$18-S$22-S$12)/POWER(1+$M173,S$1))</f>
        <v>-8.142073032738596E-11</v>
      </c>
      <c r="T174" s="33">
        <f>IF($M$63=структура!$P$14,"",(T$18-T$22-T$12)/POWER(1+$M173,T$1))</f>
        <v>-40696.713751514937</v>
      </c>
      <c r="U174" s="33">
        <f>IF($M$63=структура!$P$14,"",(U$18-U$22-U$12)/POWER(1+$M173,U$1))</f>
        <v>-1.3618441654526462E-10</v>
      </c>
      <c r="V174" s="33">
        <f>IF($M$63=структура!$P$14,"",(V$18-V$22-V$12)/POWER(1+$M173,V$1))</f>
        <v>5315.6880055864594</v>
      </c>
      <c r="W174" s="33">
        <f>IF($M$63=структура!$P$14,"",(W$18-W$22-W$12)/POWER(1+$M173,W$1))</f>
        <v>19478.565840947944</v>
      </c>
      <c r="X174" s="33">
        <f>IF($M$63=структура!$P$14,"",(X$18-X$22-X$12)/POWER(1+$M173,X$1))</f>
        <v>181910.45819470365</v>
      </c>
      <c r="Y174" s="33">
        <f>IF($M$63=структура!$P$14,"",(Y$18-Y$22-Y$12)/POWER(1+$M173,Y$1))</f>
        <v>-47769.048390535812</v>
      </c>
      <c r="Z174" s="3"/>
      <c r="AA174" s="3"/>
    </row>
    <row r="175" spans="1:27" x14ac:dyDescent="0.25">
      <c r="A175" s="3"/>
      <c r="B175" s="3"/>
      <c r="C175" s="3"/>
      <c r="D175" s="3"/>
      <c r="E175" s="55"/>
      <c r="F175" s="3"/>
      <c r="G175" s="3"/>
      <c r="H175" s="3"/>
      <c r="I175" s="3"/>
      <c r="J175" s="3"/>
      <c r="K175" s="185">
        <f t="shared" ref="K175" si="122">IF(M174&lt;=0,K173,M173)</f>
        <v>8.7999999999999995E-2</v>
      </c>
      <c r="L175" s="185">
        <f t="shared" si="114"/>
        <v>9.35E-2</v>
      </c>
      <c r="M175" s="41">
        <f t="shared" ref="M175" si="123">IF(M174="","",IF(M174=0,M173,IF(L175="",M173*2,(K175+L175)/2)))</f>
        <v>9.0749999999999997E-2</v>
      </c>
      <c r="N175" s="3"/>
      <c r="O175" s="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"/>
      <c r="AA175" s="3"/>
    </row>
    <row r="176" spans="1:27" x14ac:dyDescent="0.25">
      <c r="A176" s="3"/>
      <c r="B176" s="3"/>
      <c r="C176" s="3"/>
      <c r="D176" s="3"/>
      <c r="E176" s="55"/>
      <c r="F176" s="3"/>
      <c r="G176" s="3"/>
      <c r="H176" s="3"/>
      <c r="I176" s="3"/>
      <c r="J176" s="3"/>
      <c r="K176" s="185"/>
      <c r="L176" s="185"/>
      <c r="M176" s="63">
        <f>IF($M$63=структура!$P$14,"",SUM(O176:Z176)-$M$29)</f>
        <v>-1304.8176169815342</v>
      </c>
      <c r="N176" s="3"/>
      <c r="O176" s="3"/>
      <c r="P176" s="33">
        <f>IF($M$63=структура!$P$14,"",(P$18-P$22-P$12)/POWER(1+$M175,P$1))</f>
        <v>-64176.025670410287</v>
      </c>
      <c r="Q176" s="33">
        <f>IF($M$63=структура!$P$14,"",(Q$18-Q$22-Q$12)/POWER(1+$M175,Q$1))</f>
        <v>-4.8924872676038396E-11</v>
      </c>
      <c r="R176" s="33">
        <f>IF($M$63=структура!$P$14,"",(R$18-R$22-R$12)/POWER(1+$M175,R$1))</f>
        <v>8.9708682422256983E-11</v>
      </c>
      <c r="S176" s="33">
        <f>IF($M$63=структура!$P$14,"",(S$18-S$22-S$12)/POWER(1+$M175,S$1))</f>
        <v>-8.2244952942706383E-11</v>
      </c>
      <c r="T176" s="33">
        <f>IF($M$63=структура!$P$14,"",(T$18-T$22-T$12)/POWER(1+$M175,T$1))</f>
        <v>-41212.330128618858</v>
      </c>
      <c r="U176" s="33">
        <f>IF($M$63=структура!$P$14,"",(U$18-U$22-U$12)/POWER(1+$M175,U$1))</f>
        <v>-1.3825753475820205E-10</v>
      </c>
      <c r="V176" s="33">
        <f>IF($M$63=структура!$P$14,"",(V$18-V$22-V$12)/POWER(1+$M175,V$1))</f>
        <v>5410.2139879527267</v>
      </c>
      <c r="W176" s="33">
        <f>IF($M$63=структура!$P$14,"",(W$18-W$22-W$12)/POWER(1+$M175,W$1))</f>
        <v>19874.925225236108</v>
      </c>
      <c r="X176" s="33">
        <f>IF($M$63=структура!$P$14,"",(X$18-X$22-X$12)/POWER(1+$M175,X$1))</f>
        <v>186080.02648242505</v>
      </c>
      <c r="Y176" s="33">
        <f>IF($M$63=структура!$P$14,"",(Y$18-Y$22-Y$12)/POWER(1+$M175,Y$1))</f>
        <v>-48987.158272154069</v>
      </c>
      <c r="Z176" s="3"/>
      <c r="AA176" s="3"/>
    </row>
    <row r="177" spans="1:27" x14ac:dyDescent="0.25">
      <c r="A177" s="3"/>
      <c r="B177" s="3"/>
      <c r="C177" s="3"/>
      <c r="D177" s="3"/>
      <c r="E177" s="55"/>
      <c r="F177" s="3"/>
      <c r="G177" s="3"/>
      <c r="H177" s="3"/>
      <c r="I177" s="3"/>
      <c r="J177" s="3"/>
      <c r="K177" s="185">
        <f t="shared" ref="K177" si="124">IF(M176&lt;=0,K175,M175)</f>
        <v>8.7999999999999995E-2</v>
      </c>
      <c r="L177" s="185">
        <f t="shared" si="114"/>
        <v>9.0749999999999997E-2</v>
      </c>
      <c r="M177" s="41">
        <f t="shared" ref="M177" si="125">IF(M176="","",IF(M176=0,M175,IF(L177="",M175*2,(K177+L177)/2)))</f>
        <v>8.9374999999999996E-2</v>
      </c>
      <c r="N177" s="3"/>
      <c r="O177" s="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"/>
      <c r="AA177" s="3"/>
    </row>
    <row r="178" spans="1:27" x14ac:dyDescent="0.25">
      <c r="A178" s="3"/>
      <c r="B178" s="3"/>
      <c r="C178" s="3"/>
      <c r="D178" s="3"/>
      <c r="E178" s="55"/>
      <c r="F178" s="3"/>
      <c r="G178" s="3"/>
      <c r="H178" s="3"/>
      <c r="I178" s="3"/>
      <c r="J178" s="3"/>
      <c r="K178" s="185"/>
      <c r="L178" s="185"/>
      <c r="M178" s="63">
        <f>IF($M$63=структура!$P$14,"",SUM(O178:Z178)-$M$29)</f>
        <v>105.67819415911072</v>
      </c>
      <c r="N178" s="3"/>
      <c r="O178" s="3"/>
      <c r="P178" s="33">
        <f>IF($M$63=структура!$P$14,"",(P$18-P$22-P$12)/POWER(1+$M177,P$1))</f>
        <v>-64257.028112449814</v>
      </c>
      <c r="Q178" s="33">
        <f>IF($M$63=структура!$P$14,"",(Q$18-Q$22-Q$12)/POWER(1+$M177,Q$1))</f>
        <v>-4.9048455748566454E-11</v>
      </c>
      <c r="R178" s="33">
        <f>IF($M$63=структура!$P$14,"",(R$18-R$22-R$12)/POWER(1+$M177,R$1))</f>
        <v>9.0048799997368151E-11</v>
      </c>
      <c r="S178" s="33">
        <f>IF($M$63=структура!$P$14,"",(S$18-S$22-S$12)/POWER(1+$M177,S$1))</f>
        <v>-8.2660975327475056E-11</v>
      </c>
      <c r="T178" s="33">
        <f>IF($M$63=структура!$P$14,"",(T$18-T$22-T$12)/POWER(1+$M177,T$1))</f>
        <v>-41473.076812292427</v>
      </c>
      <c r="U178" s="33">
        <f>IF($M$63=структура!$P$14,"",(U$18-U$22-U$12)/POWER(1+$M177,U$1))</f>
        <v>-1.393078892659968E-10</v>
      </c>
      <c r="V178" s="33">
        <f>IF($M$63=структура!$P$14,"",(V$18-V$22-V$12)/POWER(1+$M177,V$1))</f>
        <v>5458.1964590401449</v>
      </c>
      <c r="W178" s="33">
        <f>IF($M$63=структура!$P$14,"",(W$18-W$22-W$12)/POWER(1+$M177,W$1))</f>
        <v>20076.501752163123</v>
      </c>
      <c r="X178" s="33">
        <f>IF($M$63=структура!$P$14,"",(X$18-X$22-X$12)/POWER(1+$M177,X$1))</f>
        <v>188204.54800231269</v>
      </c>
      <c r="Y178" s="33">
        <f>IF($M$63=структура!$P$14,"",(Y$18-Y$22-Y$12)/POWER(1+$M177,Y$1))</f>
        <v>-49608.993853202417</v>
      </c>
      <c r="Z178" s="3"/>
      <c r="AA178" s="3"/>
    </row>
    <row r="179" spans="1:27" x14ac:dyDescent="0.25">
      <c r="A179" s="3"/>
      <c r="B179" s="3"/>
      <c r="C179" s="3"/>
      <c r="D179" s="3"/>
      <c r="E179" s="55"/>
      <c r="F179" s="3"/>
      <c r="G179" s="3"/>
      <c r="H179" s="3"/>
      <c r="I179" s="3"/>
      <c r="J179" s="3"/>
      <c r="K179" s="185">
        <f t="shared" ref="K179" si="126">IF(M178&lt;=0,K177,M177)</f>
        <v>8.9374999999999996E-2</v>
      </c>
      <c r="L179" s="185">
        <f t="shared" si="114"/>
        <v>9.0749999999999997E-2</v>
      </c>
      <c r="M179" s="41">
        <f t="shared" ref="M179" si="127">IF(M178="","",IF(M178=0,M177,IF(L179="",M177*2,(K179+L179)/2)))</f>
        <v>9.006249999999999E-2</v>
      </c>
      <c r="N179" s="3"/>
      <c r="O179" s="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"/>
      <c r="AA179" s="3"/>
    </row>
    <row r="180" spans="1:27" x14ac:dyDescent="0.25">
      <c r="A180" s="3"/>
      <c r="B180" s="3"/>
      <c r="C180" s="3"/>
      <c r="D180" s="3"/>
      <c r="E180" s="55"/>
      <c r="F180" s="3"/>
      <c r="G180" s="3"/>
      <c r="H180" s="3"/>
      <c r="I180" s="3"/>
      <c r="J180" s="3"/>
      <c r="K180" s="185"/>
      <c r="L180" s="185"/>
      <c r="M180" s="63">
        <f>IF($M$63=структура!$P$14,"",SUM(O180:Z180)-$M$29)</f>
        <v>-601.91536261276633</v>
      </c>
      <c r="N180" s="3"/>
      <c r="O180" s="3"/>
      <c r="P180" s="33">
        <f>IF($M$63=структура!$P$14,"",(P$18-P$22-P$12)/POWER(1+$M179,P$1))</f>
        <v>-64216.501347399819</v>
      </c>
      <c r="Q180" s="33">
        <f>IF($M$63=структура!$P$14,"",(Q$18-Q$22-Q$12)/POWER(1+$M179,Q$1))</f>
        <v>-4.8986605754632958E-11</v>
      </c>
      <c r="R180" s="33">
        <f>IF($M$63=структура!$P$14,"",(R$18-R$22-R$12)/POWER(1+$M179,R$1))</f>
        <v>8.9878526698483723E-11</v>
      </c>
      <c r="S180" s="33">
        <f>IF($M$63=структура!$P$14,"",(S$18-S$22-S$12)/POWER(1+$M179,S$1))</f>
        <v>-8.2452636154792719E-11</v>
      </c>
      <c r="T180" s="33">
        <f>IF($M$63=структура!$P$14,"",(T$18-T$22-T$12)/POWER(1+$M179,T$1))</f>
        <v>-41342.456792152363</v>
      </c>
      <c r="U180" s="33">
        <f>IF($M$63=структура!$P$14,"",(U$18-U$22-U$12)/POWER(1+$M179,U$1))</f>
        <v>-1.3878155271518607E-10</v>
      </c>
      <c r="V180" s="33">
        <f>IF($M$63=структура!$P$14,"",(V$18-V$22-V$12)/POWER(1+$M179,V$1))</f>
        <v>5434.1446987286827</v>
      </c>
      <c r="W180" s="33">
        <f>IF($M$63=структура!$P$14,"",(W$18-W$22-W$12)/POWER(1+$M179,W$1))</f>
        <v>19975.427438159793</v>
      </c>
      <c r="X180" s="33">
        <f>IF($M$63=структура!$P$14,"",(X$18-X$22-X$12)/POWER(1+$M179,X$1))</f>
        <v>187138.93742461927</v>
      </c>
      <c r="Y180" s="33">
        <f>IF($M$63=структура!$P$14,"",(Y$18-Y$22-Y$12)/POWER(1+$M179,Y$1))</f>
        <v>-49296.997543156132</v>
      </c>
      <c r="Z180" s="3"/>
      <c r="AA180" s="3"/>
    </row>
    <row r="181" spans="1:27" x14ac:dyDescent="0.25">
      <c r="A181" s="3"/>
      <c r="B181" s="3"/>
      <c r="C181" s="3"/>
      <c r="D181" s="3"/>
      <c r="E181" s="55"/>
      <c r="F181" s="3"/>
      <c r="G181" s="3"/>
      <c r="H181" s="3"/>
      <c r="I181" s="3"/>
      <c r="J181" s="3"/>
      <c r="K181" s="185">
        <f t="shared" ref="K181" si="128">IF(M180&lt;=0,K179,M179)</f>
        <v>8.9374999999999996E-2</v>
      </c>
      <c r="L181" s="185">
        <f t="shared" si="114"/>
        <v>9.006249999999999E-2</v>
      </c>
      <c r="M181" s="41">
        <f t="shared" ref="M181" si="129">IF(M180="","",IF(M180=0,M179,IF(L181="",M179*2,(K181+L181)/2)))</f>
        <v>8.9718749999999986E-2</v>
      </c>
      <c r="N181" s="3"/>
      <c r="O181" s="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"/>
      <c r="AA181" s="3"/>
    </row>
    <row r="182" spans="1:27" x14ac:dyDescent="0.25">
      <c r="A182" s="3"/>
      <c r="B182" s="3"/>
      <c r="C182" s="3"/>
      <c r="D182" s="3"/>
      <c r="E182" s="55"/>
      <c r="F182" s="3"/>
      <c r="G182" s="3"/>
      <c r="H182" s="3"/>
      <c r="I182" s="3"/>
      <c r="J182" s="3"/>
      <c r="K182" s="185"/>
      <c r="L182" s="185"/>
      <c r="M182" s="63">
        <f>IF($M$63=структура!$P$14,"",SUM(O182:Z182)-$M$29)</f>
        <v>-248.70700981975097</v>
      </c>
      <c r="N182" s="3"/>
      <c r="O182" s="3"/>
      <c r="P182" s="33">
        <f>IF($M$63=структура!$P$14,"",(P$18-P$22-P$12)/POWER(1+$M181,P$1))</f>
        <v>-64236.758337873885</v>
      </c>
      <c r="Q182" s="33">
        <f>IF($M$63=структура!$P$14,"",(Q$18-Q$22-Q$12)/POWER(1+$M181,Q$1))</f>
        <v>-4.90175161187405E-11</v>
      </c>
      <c r="R182" s="33">
        <f>IF($M$63=структура!$P$14,"",(R$18-R$22-R$12)/POWER(1+$M181,R$1))</f>
        <v>8.9963609635496306E-11</v>
      </c>
      <c r="S182" s="33">
        <f>IF($M$63=структура!$P$14,"",(S$18-S$22-S$12)/POWER(1+$M181,S$1))</f>
        <v>-8.2556723590831394E-11</v>
      </c>
      <c r="T182" s="33">
        <f>IF($M$63=структура!$P$14,"",(T$18-T$22-T$12)/POWER(1+$M181,T$1))</f>
        <v>-41407.704996428678</v>
      </c>
      <c r="U182" s="33">
        <f>IF($M$63=структура!$P$14,"",(U$18-U$22-U$12)/POWER(1+$M181,U$1))</f>
        <v>-1.3904443043467832E-10</v>
      </c>
      <c r="V182" s="33">
        <f>IF($M$63=структура!$P$14,"",(V$18-V$22-V$12)/POWER(1+$M181,V$1))</f>
        <v>5446.1554047141844</v>
      </c>
      <c r="W182" s="33">
        <f>IF($M$63=структура!$P$14,"",(W$18-W$22-W$12)/POWER(1+$M181,W$1))</f>
        <v>20025.892856816696</v>
      </c>
      <c r="X182" s="33">
        <f>IF($M$63=структура!$P$14,"",(X$18-X$22-X$12)/POWER(1+$M181,X$1))</f>
        <v>187670.90235128795</v>
      </c>
      <c r="Y182" s="33">
        <f>IF($M$63=структура!$P$14,"",(Y$18-Y$22-Y$12)/POWER(1+$M181,Y$1))</f>
        <v>-49452.725046923828</v>
      </c>
      <c r="Z182" s="3"/>
      <c r="AA182" s="3"/>
    </row>
    <row r="183" spans="1:27" x14ac:dyDescent="0.25">
      <c r="A183" s="3"/>
      <c r="B183" s="3"/>
      <c r="C183" s="3"/>
      <c r="D183" s="3"/>
      <c r="E183" s="55"/>
      <c r="F183" s="3"/>
      <c r="G183" s="3"/>
      <c r="H183" s="3"/>
      <c r="I183" s="3"/>
      <c r="J183" s="3"/>
      <c r="K183" s="185">
        <f t="shared" ref="K183" si="130">IF(M182&lt;=0,K181,M181)</f>
        <v>8.9374999999999996E-2</v>
      </c>
      <c r="L183" s="185">
        <f t="shared" si="114"/>
        <v>8.9718749999999986E-2</v>
      </c>
      <c r="M183" s="41">
        <f t="shared" ref="M183" si="131">IF(M182="","",IF(M182=0,M181,IF(L183="",M181*2,(K183+L183)/2)))</f>
        <v>8.9546874999999998E-2</v>
      </c>
      <c r="N183" s="3"/>
      <c r="O183" s="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"/>
      <c r="AA183" s="3"/>
    </row>
    <row r="184" spans="1:27" x14ac:dyDescent="0.25">
      <c r="A184" s="3"/>
      <c r="B184" s="3"/>
      <c r="C184" s="3"/>
      <c r="D184" s="3"/>
      <c r="E184" s="55"/>
      <c r="F184" s="3"/>
      <c r="G184" s="3"/>
      <c r="H184" s="3"/>
      <c r="I184" s="3"/>
      <c r="J184" s="3"/>
      <c r="K184" s="185"/>
      <c r="L184" s="185"/>
      <c r="M184" s="63">
        <f>IF($M$63=структура!$P$14,"",SUM(O184:Z184)-$M$29)</f>
        <v>-71.661766635923414</v>
      </c>
      <c r="N184" s="3"/>
      <c r="O184" s="3"/>
      <c r="P184" s="33">
        <f>IF($M$63=структура!$P$14,"",(P$18-P$22-P$12)/POWER(1+$M183,P$1))</f>
        <v>-64246.89162639287</v>
      </c>
      <c r="Q184" s="33">
        <f>IF($M$63=структура!$P$14,"",(Q$18-Q$22-Q$12)/POWER(1+$M183,Q$1))</f>
        <v>-4.9032982273130276E-11</v>
      </c>
      <c r="R184" s="33">
        <f>IF($M$63=структура!$P$14,"",(R$18-R$22-R$12)/POWER(1+$M183,R$1))</f>
        <v>9.0006191377732647E-11</v>
      </c>
      <c r="S184" s="33">
        <f>IF($M$63=структура!$P$14,"",(S$18-S$22-S$12)/POWER(1+$M183,S$1))</f>
        <v>-8.2608828902136639E-11</v>
      </c>
      <c r="T184" s="33">
        <f>IF($M$63=структура!$P$14,"",(T$18-T$22-T$12)/POWER(1+$M183,T$1))</f>
        <v>-41440.375435847294</v>
      </c>
      <c r="U184" s="33">
        <f>IF($M$63=структура!$P$14,"",(U$18-U$22-U$12)/POWER(1+$M183,U$1))</f>
        <v>-1.3917608711967145E-10</v>
      </c>
      <c r="V184" s="33">
        <f>IF($M$63=структура!$P$14,"",(V$18-V$22-V$12)/POWER(1+$M183,V$1))</f>
        <v>5452.1721329474867</v>
      </c>
      <c r="W184" s="33">
        <f>IF($M$63=структура!$P$14,"",(W$18-W$22-W$12)/POWER(1+$M183,W$1))</f>
        <v>20051.179341604286</v>
      </c>
      <c r="X184" s="33">
        <f>IF($M$63=структура!$P$14,"",(X$18-X$22-X$12)/POWER(1+$M183,X$1))</f>
        <v>187937.5147215836</v>
      </c>
      <c r="Y184" s="33">
        <f>IF($M$63=структура!$P$14,"",(Y$18-Y$22-Y$12)/POWER(1+$M183,Y$1))</f>
        <v>-49530.791659118928</v>
      </c>
      <c r="Z184" s="3"/>
      <c r="AA184" s="3"/>
    </row>
    <row r="185" spans="1:27" x14ac:dyDescent="0.25">
      <c r="A185" s="3"/>
      <c r="B185" s="3"/>
      <c r="C185" s="3"/>
      <c r="D185" s="3"/>
      <c r="E185" s="55"/>
      <c r="F185" s="3"/>
      <c r="G185" s="3"/>
      <c r="H185" s="3"/>
      <c r="I185" s="3"/>
      <c r="J185" s="3"/>
      <c r="K185" s="185">
        <f t="shared" ref="K185" si="132">IF(M184&lt;=0,K183,M183)</f>
        <v>8.9374999999999996E-2</v>
      </c>
      <c r="L185" s="185">
        <f t="shared" si="114"/>
        <v>8.9546874999999998E-2</v>
      </c>
      <c r="M185" s="41">
        <f t="shared" ref="M185" si="133">IF(M184="","",IF(M184=0,M183,IF(L185="",M183*2,(K185+L185)/2)))</f>
        <v>8.9460937500000004E-2</v>
      </c>
      <c r="N185" s="3"/>
      <c r="O185" s="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"/>
      <c r="AA185" s="3"/>
    </row>
    <row r="186" spans="1:27" x14ac:dyDescent="0.25">
      <c r="A186" s="3"/>
      <c r="B186" s="3"/>
      <c r="C186" s="3"/>
      <c r="D186" s="3"/>
      <c r="E186" s="55"/>
      <c r="F186" s="3"/>
      <c r="G186" s="3"/>
      <c r="H186" s="3"/>
      <c r="I186" s="3"/>
      <c r="J186" s="3"/>
      <c r="K186" s="185"/>
      <c r="L186" s="185"/>
      <c r="M186" s="63">
        <f>IF($M$63=структура!$P$14,"",SUM(O186:Z186)-$M$29)</f>
        <v>16.971342458564322</v>
      </c>
      <c r="N186" s="3"/>
      <c r="O186" s="3"/>
      <c r="P186" s="33">
        <f>IF($M$63=структура!$P$14,"",(P$18-P$22-P$12)/POWER(1+$M185,P$1))</f>
        <v>-64251.959469634508</v>
      </c>
      <c r="Q186" s="33">
        <f>IF($M$63=структура!$P$14,"",(Q$18-Q$22-Q$12)/POWER(1+$M185,Q$1))</f>
        <v>-4.904071809542881E-11</v>
      </c>
      <c r="R186" s="33">
        <f>IF($M$63=структура!$P$14,"",(R$18-R$22-R$12)/POWER(1+$M185,R$1))</f>
        <v>9.0027492326550379E-11</v>
      </c>
      <c r="S186" s="33">
        <f>IF($M$63=структура!$P$14,"",(S$18-S$22-S$12)/POWER(1+$M185,S$1))</f>
        <v>-8.2634896973119221E-11</v>
      </c>
      <c r="T186" s="33">
        <f>IF($M$63=структура!$P$14,"",(T$18-T$22-T$12)/POWER(1+$M185,T$1))</f>
        <v>-41456.722254806074</v>
      </c>
      <c r="U186" s="33">
        <f>IF($M$63=структура!$P$14,"",(U$18-U$22-U$12)/POWER(1+$M185,U$1))</f>
        <v>-1.3924196999869235E-10</v>
      </c>
      <c r="V186" s="33">
        <f>IF($M$63=структура!$P$14,"",(V$18-V$22-V$12)/POWER(1+$M185,V$1))</f>
        <v>5455.1833455870756</v>
      </c>
      <c r="W186" s="33">
        <f>IF($M$63=структура!$P$14,"",(W$18-W$22-W$12)/POWER(1+$M185,W$1))</f>
        <v>20063.836052619492</v>
      </c>
      <c r="X186" s="33">
        <f>IF($M$63=структура!$P$14,"",(X$18-X$22-X$12)/POWER(1+$M185,X$1))</f>
        <v>188070.97870248434</v>
      </c>
      <c r="Y186" s="33">
        <f>IF($M$63=структура!$P$14,"",(Y$18-Y$22-Y$12)/POWER(1+$M185,Y$1))</f>
        <v>-49569.875792379564</v>
      </c>
      <c r="Z186" s="3"/>
      <c r="AA186" s="3"/>
    </row>
    <row r="187" spans="1:27" x14ac:dyDescent="0.25">
      <c r="A187" s="3"/>
      <c r="B187" s="3"/>
      <c r="C187" s="3"/>
      <c r="D187" s="3"/>
      <c r="E187" s="55"/>
      <c r="F187" s="3"/>
      <c r="G187" s="3"/>
      <c r="H187" s="3"/>
      <c r="I187" s="3"/>
      <c r="J187" s="3"/>
      <c r="K187" s="185">
        <f t="shared" ref="K187" si="134">IF(M186&lt;=0,K185,M185)</f>
        <v>8.9460937500000004E-2</v>
      </c>
      <c r="L187" s="185">
        <f t="shared" si="114"/>
        <v>8.9546874999999998E-2</v>
      </c>
      <c r="M187" s="41">
        <f t="shared" ref="M187" si="135">IF(M186="","",IF(M186=0,M185,IF(L187="",M185*2,(K187+L187)/2)))</f>
        <v>8.9503906250000001E-2</v>
      </c>
      <c r="N187" s="3"/>
      <c r="O187" s="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"/>
      <c r="AA187" s="3"/>
    </row>
    <row r="188" spans="1:27" x14ac:dyDescent="0.25">
      <c r="A188" s="3"/>
      <c r="B188" s="3"/>
      <c r="C188" s="3"/>
      <c r="D188" s="3"/>
      <c r="E188" s="55"/>
      <c r="F188" s="3"/>
      <c r="G188" s="3"/>
      <c r="H188" s="3"/>
      <c r="I188" s="3"/>
      <c r="J188" s="3"/>
      <c r="K188" s="185"/>
      <c r="L188" s="185"/>
      <c r="M188" s="63">
        <f>IF($M$63=структура!$P$14,"",SUM(O188:Z188)-$M$29)</f>
        <v>-27.354425962090318</v>
      </c>
      <c r="N188" s="3"/>
      <c r="O188" s="3"/>
      <c r="P188" s="33">
        <f>IF($M$63=структура!$P$14,"",(P$18-P$22-P$12)/POWER(1+$M187,P$1))</f>
        <v>-64249.4254480788</v>
      </c>
      <c r="Q188" s="33">
        <f>IF($M$63=структура!$P$14,"",(Q$18-Q$22-Q$12)/POWER(1+$M187,Q$1))</f>
        <v>-4.9036849955460748E-11</v>
      </c>
      <c r="R188" s="33">
        <f>IF($M$63=структура!$P$14,"",(R$18-R$22-R$12)/POWER(1+$M187,R$1))</f>
        <v>9.0016841012057174E-11</v>
      </c>
      <c r="S188" s="33">
        <f>IF($M$63=структура!$P$14,"",(S$18-S$22-S$12)/POWER(1+$M187,S$1))</f>
        <v>-8.2621861652510404E-11</v>
      </c>
      <c r="T188" s="33">
        <f>IF($M$63=структура!$P$14,"",(T$18-T$22-T$12)/POWER(1+$M187,T$1))</f>
        <v>-41448.547878277757</v>
      </c>
      <c r="U188" s="33">
        <f>IF($M$63=структура!$P$14,"",(U$18-U$22-U$12)/POWER(1+$M187,U$1))</f>
        <v>-1.3920902401208145E-10</v>
      </c>
      <c r="V188" s="33">
        <f>IF($M$63=структура!$P$14,"",(V$18-V$22-V$12)/POWER(1+$M187,V$1))</f>
        <v>5453.6775017499249</v>
      </c>
      <c r="W188" s="33">
        <f>IF($M$63=структура!$P$14,"",(W$18-W$22-W$12)/POWER(1+$M187,W$1))</f>
        <v>20057.506573988911</v>
      </c>
      <c r="X188" s="33">
        <f>IF($M$63=структура!$P$14,"",(X$18-X$22-X$12)/POWER(1+$M187,X$1))</f>
        <v>188004.23355287866</v>
      </c>
      <c r="Y188" s="33">
        <f>IF($M$63=структура!$P$14,"",(Y$18-Y$22-Y$12)/POWER(1+$M187,Y$1))</f>
        <v>-49550.329486810842</v>
      </c>
      <c r="Z188" s="3"/>
      <c r="AA188" s="3"/>
    </row>
    <row r="189" spans="1:27" x14ac:dyDescent="0.25">
      <c r="A189" s="3"/>
      <c r="B189" s="3"/>
      <c r="C189" s="3"/>
      <c r="D189" s="3"/>
      <c r="E189" s="55"/>
      <c r="F189" s="3"/>
      <c r="G189" s="3"/>
      <c r="H189" s="3"/>
      <c r="I189" s="3"/>
      <c r="J189" s="3"/>
      <c r="K189" s="185">
        <f t="shared" ref="K189" si="136">IF(M188&lt;=0,K187,M187)</f>
        <v>8.9460937500000004E-2</v>
      </c>
      <c r="L189" s="185">
        <f t="shared" si="114"/>
        <v>8.9503906250000001E-2</v>
      </c>
      <c r="M189" s="41">
        <f t="shared" ref="M189" si="137">IF(M188="","",IF(M188=0,M187,IF(L189="",M187*2,(K189+L189)/2)))</f>
        <v>8.9482421874999996E-2</v>
      </c>
      <c r="N189" s="3"/>
      <c r="O189" s="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"/>
      <c r="AA189" s="3"/>
    </row>
    <row r="190" spans="1:27" x14ac:dyDescent="0.25">
      <c r="A190" s="3"/>
      <c r="B190" s="3"/>
      <c r="C190" s="3"/>
      <c r="D190" s="3"/>
      <c r="E190" s="55"/>
      <c r="F190" s="3"/>
      <c r="G190" s="3"/>
      <c r="H190" s="3"/>
      <c r="I190" s="3"/>
      <c r="J190" s="3"/>
      <c r="K190" s="185"/>
      <c r="L190" s="185"/>
      <c r="M190" s="63">
        <f>IF($M$63=структура!$P$14,"",SUM(O190:Z190)-$M$29)</f>
        <v>-5.1938457140713581</v>
      </c>
      <c r="N190" s="3"/>
      <c r="O190" s="3"/>
      <c r="P190" s="33">
        <f>IF($M$63=структура!$P$14,"",(P$18-P$22-P$12)/POWER(1+$M189,P$1))</f>
        <v>-64250.692433871453</v>
      </c>
      <c r="Q190" s="33">
        <f>IF($M$63=структура!$P$14,"",(Q$18-Q$22-Q$12)/POWER(1+$M189,Q$1))</f>
        <v>-4.9038783968235562E-11</v>
      </c>
      <c r="R190" s="33">
        <f>IF($M$63=структура!$P$14,"",(R$18-R$22-R$12)/POWER(1+$M189,R$1))</f>
        <v>9.0022166459261972E-11</v>
      </c>
      <c r="S190" s="33">
        <f>IF($M$63=структура!$P$14,"",(S$18-S$22-S$12)/POWER(1+$M189,S$1))</f>
        <v>-8.2628378991497402E-11</v>
      </c>
      <c r="T190" s="33">
        <f>IF($M$63=структура!$P$14,"",(T$18-T$22-T$12)/POWER(1+$M189,T$1))</f>
        <v>-41452.634824746303</v>
      </c>
      <c r="U190" s="33">
        <f>IF($M$63=структура!$P$14,"",(U$18-U$22-U$12)/POWER(1+$M189,U$1))</f>
        <v>-1.392254958684324E-10</v>
      </c>
      <c r="V190" s="33">
        <f>IF($M$63=структура!$P$14,"",(V$18-V$22-V$12)/POWER(1+$M189,V$1))</f>
        <v>5454.4303642786208</v>
      </c>
      <c r="W190" s="33">
        <f>IF($M$63=структура!$P$14,"",(W$18-W$22-W$12)/POWER(1+$M189,W$1))</f>
        <v>20060.671032468083</v>
      </c>
      <c r="X190" s="33">
        <f>IF($M$63=структура!$P$14,"",(X$18-X$22-X$12)/POWER(1+$M189,X$1))</f>
        <v>188037.60283717897</v>
      </c>
      <c r="Y190" s="33">
        <f>IF($M$63=структура!$P$14,"",(Y$18-Y$22-Y$12)/POWER(1+$M189,Y$1))</f>
        <v>-49560.1015796098</v>
      </c>
      <c r="Z190" s="3"/>
      <c r="AA190" s="3"/>
    </row>
    <row r="191" spans="1:27" x14ac:dyDescent="0.25">
      <c r="A191" s="3"/>
      <c r="B191" s="3"/>
      <c r="C191" s="3"/>
      <c r="D191" s="3"/>
      <c r="E191" s="55"/>
      <c r="F191" s="3"/>
      <c r="G191" s="3"/>
      <c r="H191" s="3"/>
      <c r="I191" s="3"/>
      <c r="J191" s="3"/>
      <c r="K191" s="185">
        <f t="shared" ref="K191" si="138">IF(M190&lt;=0,K189,M189)</f>
        <v>8.9460937500000004E-2</v>
      </c>
      <c r="L191" s="185">
        <f t="shared" si="114"/>
        <v>8.9482421874999996E-2</v>
      </c>
      <c r="M191" s="41">
        <f t="shared" ref="M191" si="139">IF(M190="","",IF(M190=0,M189,IF(L191="",M189*2,(K191+L191)/2)))</f>
        <v>8.94716796875E-2</v>
      </c>
      <c r="N191" s="3"/>
      <c r="O191" s="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"/>
      <c r="AA191" s="3"/>
    </row>
    <row r="192" spans="1:27" x14ac:dyDescent="0.25">
      <c r="A192" s="3"/>
      <c r="B192" s="3"/>
      <c r="C192" s="3"/>
      <c r="D192" s="3"/>
      <c r="E192" s="55"/>
      <c r="F192" s="3"/>
      <c r="G192" s="3"/>
      <c r="H192" s="3"/>
      <c r="I192" s="3"/>
      <c r="J192" s="3"/>
      <c r="K192" s="185"/>
      <c r="L192" s="185"/>
      <c r="M192" s="63">
        <f>IF($M$63=структура!$P$14,"",SUM(O192:Z192)-$M$29)</f>
        <v>5.8881723200029228</v>
      </c>
      <c r="N192" s="3"/>
      <c r="O192" s="3"/>
      <c r="P192" s="33">
        <f>IF($M$63=структура!$P$14,"",(P$18-P$22-P$12)/POWER(1+$M191,P$1))</f>
        <v>-64251.325945506505</v>
      </c>
      <c r="Q192" s="33">
        <f>IF($M$63=структура!$P$14,"",(Q$18-Q$22-Q$12)/POWER(1+$M191,Q$1))</f>
        <v>-4.9039751017529332E-11</v>
      </c>
      <c r="R192" s="33">
        <f>IF($M$63=структура!$P$14,"",(R$18-R$22-R$12)/POWER(1+$M191,R$1))</f>
        <v>9.0024829340393164E-11</v>
      </c>
      <c r="S192" s="33">
        <f>IF($M$63=структура!$P$14,"",(S$18-S$22-S$12)/POWER(1+$M191,S$1))</f>
        <v>-8.2631637901974243E-11</v>
      </c>
      <c r="T192" s="33">
        <f>IF($M$63=структура!$P$14,"",(T$18-T$22-T$12)/POWER(1+$M191,T$1))</f>
        <v>-41454.678479323135</v>
      </c>
      <c r="U192" s="33">
        <f>IF($M$63=структура!$P$14,"",(U$18-U$22-U$12)/POWER(1+$M191,U$1))</f>
        <v>-1.3923373264930142E-10</v>
      </c>
      <c r="V192" s="33">
        <f>IF($M$63=структура!$P$14,"",(V$18-V$22-V$12)/POWER(1+$M191,V$1))</f>
        <v>5454.8068400840639</v>
      </c>
      <c r="W192" s="33">
        <f>IF($M$63=структура!$P$14,"",(W$18-W$22-W$12)/POWER(1+$M191,W$1))</f>
        <v>20062.253472327848</v>
      </c>
      <c r="X192" s="33">
        <f>IF($M$63=структура!$P$14,"",(X$18-X$22-X$12)/POWER(1+$M191,X$1))</f>
        <v>188054.28994711695</v>
      </c>
      <c r="Y192" s="33">
        <f>IF($M$63=структура!$P$14,"",(Y$18-Y$22-Y$12)/POWER(1+$M191,Y$1))</f>
        <v>-49564.988420967027</v>
      </c>
      <c r="Z192" s="3"/>
      <c r="AA192" s="3"/>
    </row>
    <row r="193" spans="1:27" x14ac:dyDescent="0.25">
      <c r="A193" s="3"/>
      <c r="B193" s="3"/>
      <c r="C193" s="3"/>
      <c r="D193" s="3"/>
      <c r="E193" s="55"/>
      <c r="F193" s="3"/>
      <c r="G193" s="3"/>
      <c r="H193" s="3"/>
      <c r="I193" s="3"/>
      <c r="J193" s="3"/>
      <c r="K193" s="185">
        <f t="shared" ref="K193" si="140">IF(M192&lt;=0,K191,M191)</f>
        <v>8.94716796875E-2</v>
      </c>
      <c r="L193" s="185">
        <f t="shared" si="114"/>
        <v>8.9482421874999996E-2</v>
      </c>
      <c r="M193" s="41">
        <f t="shared" ref="M193" si="141">IF(M192="","",IF(M192=0,M191,IF(L193="",M191*2,(K193+L193)/2)))</f>
        <v>8.9477050781249998E-2</v>
      </c>
      <c r="N193" s="3"/>
      <c r="O193" s="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"/>
      <c r="AA193" s="3"/>
    </row>
    <row r="194" spans="1:27" x14ac:dyDescent="0.25">
      <c r="A194" s="3"/>
      <c r="B194" s="3"/>
      <c r="C194" s="3"/>
      <c r="D194" s="3"/>
      <c r="E194" s="55"/>
      <c r="F194" s="3"/>
      <c r="G194" s="3"/>
      <c r="H194" s="3"/>
      <c r="I194" s="3"/>
      <c r="J194" s="3"/>
      <c r="K194" s="185"/>
      <c r="L194" s="185"/>
      <c r="M194" s="63">
        <f>IF($M$63=структура!$P$14,"",SUM(O194:Z194)-$M$29)</f>
        <v>0.34701929774018936</v>
      </c>
      <c r="N194" s="3"/>
      <c r="O194" s="3"/>
      <c r="P194" s="33">
        <f>IF($M$63=структура!$P$14,"",(P$18-P$22-P$12)/POWER(1+$M193,P$1))</f>
        <v>-64251.009188127384</v>
      </c>
      <c r="Q194" s="33">
        <f>IF($M$63=структура!$P$14,"",(Q$18-Q$22-Q$12)/POWER(1+$M193,Q$1))</f>
        <v>-4.903926748930681E-11</v>
      </c>
      <c r="R194" s="33">
        <f>IF($M$63=структура!$P$14,"",(R$18-R$22-R$12)/POWER(1+$M193,R$1))</f>
        <v>9.0023497886699656E-11</v>
      </c>
      <c r="S194" s="33">
        <f>IF($M$63=структура!$P$14,"",(S$18-S$22-S$12)/POWER(1+$M193,S$1))</f>
        <v>-8.2630008426652931E-11</v>
      </c>
      <c r="T194" s="33">
        <f>IF($M$63=структура!$P$14,"",(T$18-T$22-T$12)/POWER(1+$M193,T$1))</f>
        <v>-41453.656636921995</v>
      </c>
      <c r="U194" s="33">
        <f>IF($M$63=структура!$P$14,"",(U$18-U$22-U$12)/POWER(1+$M193,U$1))</f>
        <v>-1.3922961418780455E-10</v>
      </c>
      <c r="V194" s="33">
        <f>IF($M$63=структура!$P$14,"",(V$18-V$22-V$12)/POWER(1+$M193,V$1))</f>
        <v>5454.6185984693147</v>
      </c>
      <c r="W194" s="33">
        <f>IF($M$63=структура!$P$14,"",(W$18-W$22-W$12)/POWER(1+$M193,W$1))</f>
        <v>20061.462234844861</v>
      </c>
      <c r="X194" s="33">
        <f>IF($M$63=структура!$P$14,"",(X$18-X$22-X$12)/POWER(1+$M193,X$1))</f>
        <v>188045.94618648061</v>
      </c>
      <c r="Y194" s="33">
        <f>IF($M$63=структура!$P$14,"",(Y$18-Y$22-Y$12)/POWER(1+$M193,Y$1))</f>
        <v>-49562.544934035468</v>
      </c>
      <c r="Z194" s="3"/>
      <c r="AA194" s="3"/>
    </row>
    <row r="195" spans="1:27" x14ac:dyDescent="0.25">
      <c r="A195" s="3"/>
      <c r="B195" s="3"/>
      <c r="C195" s="3"/>
      <c r="D195" s="3"/>
      <c r="E195" s="55"/>
      <c r="F195" s="3"/>
      <c r="G195" s="3"/>
      <c r="H195" s="3"/>
      <c r="I195" s="3"/>
      <c r="J195" s="3"/>
      <c r="K195" s="185">
        <f t="shared" ref="K195" si="142">IF(M194&lt;=0,K193,M193)</f>
        <v>8.9477050781249998E-2</v>
      </c>
      <c r="L195" s="185">
        <f t="shared" si="114"/>
        <v>8.9482421874999996E-2</v>
      </c>
      <c r="M195" s="41">
        <f t="shared" ref="M195" si="143">IF(M194="","",IF(M194=0,M193,IF(L195="",M193*2,(K195+L195)/2)))</f>
        <v>8.9479736328125004E-2</v>
      </c>
      <c r="N195" s="3"/>
      <c r="O195" s="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"/>
      <c r="AA195" s="3"/>
    </row>
    <row r="196" spans="1:27" x14ac:dyDescent="0.25">
      <c r="A196" s="3"/>
      <c r="B196" s="3"/>
      <c r="C196" s="3"/>
      <c r="D196" s="3"/>
      <c r="E196" s="55"/>
      <c r="F196" s="3"/>
      <c r="G196" s="3"/>
      <c r="H196" s="3"/>
      <c r="I196" s="3"/>
      <c r="J196" s="3"/>
      <c r="K196" s="185"/>
      <c r="L196" s="185"/>
      <c r="M196" s="63">
        <f>IF($M$63=структура!$P$14,"",SUM(O196:Z196)-$M$29)</f>
        <v>-2.4234492086106911</v>
      </c>
      <c r="N196" s="3"/>
      <c r="O196" s="3"/>
      <c r="P196" s="33">
        <f>IF($M$63=структура!$P$14,"",(P$18-P$22-P$12)/POWER(1+$M195,P$1))</f>
        <v>-64250.850810609023</v>
      </c>
      <c r="Q196" s="33">
        <f>IF($M$63=структура!$P$14,"",(Q$18-Q$22-Q$12)/POWER(1+$M195,Q$1))</f>
        <v>-4.9039025727877282E-11</v>
      </c>
      <c r="R196" s="33">
        <f>IF($M$63=структура!$P$14,"",(R$18-R$22-R$12)/POWER(1+$M195,R$1))</f>
        <v>9.0022832169698852E-11</v>
      </c>
      <c r="S196" s="33">
        <f>IF($M$63=структура!$P$14,"",(S$18-S$22-S$12)/POWER(1+$M195,S$1))</f>
        <v>-8.262919370405449E-11</v>
      </c>
      <c r="T196" s="33">
        <f>IF($M$63=структура!$P$14,"",(T$18-T$22-T$12)/POWER(1+$M195,T$1))</f>
        <v>-41453.145727056013</v>
      </c>
      <c r="U196" s="33">
        <f>IF($M$63=структура!$P$14,"",(U$18-U$22-U$12)/POWER(1+$M195,U$1))</f>
        <v>-1.3922755501035313E-10</v>
      </c>
      <c r="V196" s="33">
        <f>IF($M$63=структура!$P$14,"",(V$18-V$22-V$12)/POWER(1+$M195,V$1))</f>
        <v>5454.524480445978</v>
      </c>
      <c r="W196" s="33">
        <f>IF($M$63=структура!$P$14,"",(W$18-W$22-W$12)/POWER(1+$M195,W$1))</f>
        <v>20061.066629268287</v>
      </c>
      <c r="X196" s="33">
        <f>IF($M$63=структура!$P$14,"",(X$18-X$22-X$12)/POWER(1+$M195,X$1))</f>
        <v>188041.77446041419</v>
      </c>
      <c r="Y196" s="33">
        <f>IF($M$63=структура!$P$14,"",(Y$18-Y$22-Y$12)/POWER(1+$M195,Y$1))</f>
        <v>-49561.323240259837</v>
      </c>
      <c r="Z196" s="3"/>
      <c r="AA196" s="3"/>
    </row>
    <row r="197" spans="1:27" x14ac:dyDescent="0.25">
      <c r="A197" s="3"/>
      <c r="B197" s="3"/>
      <c r="C197" s="3"/>
      <c r="D197" s="3"/>
      <c r="E197" s="55"/>
      <c r="F197" s="3"/>
      <c r="G197" s="3"/>
      <c r="H197" s="3"/>
      <c r="I197" s="3"/>
      <c r="J197" s="3"/>
      <c r="K197" s="185">
        <f t="shared" ref="K197" si="144">IF(M196&lt;=0,K195,M195)</f>
        <v>8.9477050781249998E-2</v>
      </c>
      <c r="L197" s="185">
        <f t="shared" si="114"/>
        <v>8.9479736328125004E-2</v>
      </c>
      <c r="M197" s="41">
        <f t="shared" ref="M197" si="145">IF(M196="","",IF(M196=0,M195,IF(L197="",M195*2,(K197+L197)/2)))</f>
        <v>8.9478393554687508E-2</v>
      </c>
      <c r="N197" s="3"/>
      <c r="O197" s="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"/>
      <c r="AA197" s="3"/>
    </row>
    <row r="198" spans="1:27" x14ac:dyDescent="0.25">
      <c r="A198" s="3"/>
      <c r="B198" s="3"/>
      <c r="C198" s="3"/>
      <c r="D198" s="3"/>
      <c r="E198" s="55"/>
      <c r="F198" s="3"/>
      <c r="G198" s="3"/>
      <c r="H198" s="3"/>
      <c r="I198" s="3"/>
      <c r="J198" s="3"/>
      <c r="K198" s="185"/>
      <c r="L198" s="185"/>
      <c r="M198" s="63">
        <f>IF($M$63=структура!$P$14,"",SUM(O198:Z198)-$M$29)</f>
        <v>-1.0382239556784043</v>
      </c>
      <c r="N198" s="3"/>
      <c r="O198" s="3"/>
      <c r="P198" s="33">
        <f>IF($M$63=структура!$P$14,"",(P$18-P$22-P$12)/POWER(1+$M197,P$1))</f>
        <v>-64250.929999270607</v>
      </c>
      <c r="Q198" s="33">
        <f>IF($M$63=структура!$P$14,"",(Q$18-Q$22-Q$12)/POWER(1+$M197,Q$1))</f>
        <v>-4.9039146608368565E-11</v>
      </c>
      <c r="R198" s="33">
        <f>IF($M$63=структура!$P$14,"",(R$18-R$22-R$12)/POWER(1+$M197,R$1))</f>
        <v>9.0023165027378762E-11</v>
      </c>
      <c r="S198" s="33">
        <f>IF($M$63=структура!$P$14,"",(S$18-S$22-S$12)/POWER(1+$M197,S$1))</f>
        <v>-8.2629601064098522E-11</v>
      </c>
      <c r="T198" s="33">
        <f>IF($M$63=структура!$P$14,"",(T$18-T$22-T$12)/POWER(1+$M197,T$1))</f>
        <v>-41453.401181044464</v>
      </c>
      <c r="U198" s="33">
        <f>IF($M$63=структура!$P$14,"",(U$18-U$22-U$12)/POWER(1+$M197,U$1))</f>
        <v>-1.3922858459463748E-10</v>
      </c>
      <c r="V198" s="33">
        <f>IF($M$63=структура!$P$14,"",(V$18-V$22-V$12)/POWER(1+$M197,V$1))</f>
        <v>5454.5715392256461</v>
      </c>
      <c r="W198" s="33">
        <f>IF($M$63=структура!$P$14,"",(W$18-W$22-W$12)/POWER(1+$M197,W$1))</f>
        <v>20061.264430959513</v>
      </c>
      <c r="X198" s="33">
        <f>IF($M$63=структура!$P$14,"",(X$18-X$22-X$12)/POWER(1+$M197,X$1))</f>
        <v>188043.86031059333</v>
      </c>
      <c r="Y198" s="33">
        <f>IF($M$63=структура!$P$14,"",(Y$18-Y$22-Y$12)/POWER(1+$M197,Y$1))</f>
        <v>-49561.934083006883</v>
      </c>
      <c r="Z198" s="3"/>
      <c r="AA198" s="3"/>
    </row>
    <row r="199" spans="1:27" x14ac:dyDescent="0.25">
      <c r="A199" s="3"/>
      <c r="B199" s="3"/>
      <c r="C199" s="3"/>
      <c r="D199" s="3"/>
      <c r="E199" s="55"/>
      <c r="F199" s="3"/>
      <c r="G199" s="3"/>
      <c r="H199" s="3"/>
      <c r="I199" s="3"/>
      <c r="J199" s="3"/>
      <c r="K199" s="185">
        <f t="shared" ref="K199" si="146">IF(M198&lt;=0,K197,M197)</f>
        <v>8.9477050781249998E-2</v>
      </c>
      <c r="L199" s="185">
        <f t="shared" si="114"/>
        <v>8.9478393554687508E-2</v>
      </c>
      <c r="M199" s="41">
        <f t="shared" ref="M199" si="147">IF(M198="","",IF(M198=0,M197,IF(L199="",M197*2,(K199+L199)/2)))</f>
        <v>8.947772216796876E-2</v>
      </c>
      <c r="N199" s="3"/>
      <c r="O199" s="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"/>
      <c r="AA199" s="3"/>
    </row>
    <row r="200" spans="1:27" x14ac:dyDescent="0.25">
      <c r="A200" s="3"/>
      <c r="B200" s="3"/>
      <c r="C200" s="3"/>
      <c r="D200" s="3"/>
      <c r="E200" s="55"/>
      <c r="F200" s="3"/>
      <c r="G200" s="3"/>
      <c r="H200" s="3"/>
      <c r="I200" s="3"/>
      <c r="J200" s="3"/>
      <c r="K200" s="185"/>
      <c r="L200" s="185"/>
      <c r="M200" s="63">
        <f>IF($M$63=структура!$P$14,"",SUM(O200:Z200)-$M$29)</f>
        <v>-0.3456045791390352</v>
      </c>
      <c r="N200" s="3"/>
      <c r="O200" s="3"/>
      <c r="P200" s="33">
        <f>IF($M$63=структура!$P$14,"",(P$18-P$22-P$12)/POWER(1+$M199,P$1))</f>
        <v>-64250.969593674592</v>
      </c>
      <c r="Q200" s="33">
        <f>IF($M$63=структура!$P$14,"",(Q$18-Q$22-Q$12)/POWER(1+$M199,Q$1))</f>
        <v>-4.9039207048781814E-11</v>
      </c>
      <c r="R200" s="33">
        <f>IF($M$63=структура!$P$14,"",(R$18-R$22-R$12)/POWER(1+$M199,R$1))</f>
        <v>9.0023331456834062E-11</v>
      </c>
      <c r="S200" s="33">
        <f>IF($M$63=структура!$P$14,"",(S$18-S$22-S$12)/POWER(1+$M199,S$1))</f>
        <v>-8.2629804745061902E-11</v>
      </c>
      <c r="T200" s="33">
        <f>IF($M$63=структура!$P$14,"",(T$18-T$22-T$12)/POWER(1+$M199,T$1))</f>
        <v>-41453.528908747074</v>
      </c>
      <c r="U200" s="33">
        <f>IF($M$63=структура!$P$14,"",(U$18-U$22-U$12)/POWER(1+$M199,U$1))</f>
        <v>-1.3922909939011057E-10</v>
      </c>
      <c r="V200" s="33">
        <f>IF($M$63=структура!$P$14,"",(V$18-V$22-V$12)/POWER(1+$M199,V$1))</f>
        <v>5454.5950687894765</v>
      </c>
      <c r="W200" s="33">
        <f>IF($M$63=структура!$P$14,"",(W$18-W$22-W$12)/POWER(1+$M199,W$1))</f>
        <v>20061.363332627909</v>
      </c>
      <c r="X200" s="33">
        <f>IF($M$63=структура!$P$14,"",(X$18-X$22-X$12)/POWER(1+$M199,X$1))</f>
        <v>188044.90324532328</v>
      </c>
      <c r="Y200" s="33">
        <f>IF($M$63=структура!$P$14,"",(Y$18-Y$22-Y$12)/POWER(1+$M199,Y$1))</f>
        <v>-49562.239507485938</v>
      </c>
      <c r="Z200" s="3"/>
      <c r="AA200" s="3"/>
    </row>
    <row r="201" spans="1:27" x14ac:dyDescent="0.25">
      <c r="A201" s="3"/>
      <c r="B201" s="3"/>
      <c r="C201" s="3"/>
      <c r="D201" s="3"/>
      <c r="E201" s="55"/>
      <c r="F201" s="3"/>
      <c r="G201" s="3"/>
      <c r="H201" s="3"/>
      <c r="I201" s="3"/>
      <c r="J201" s="3"/>
      <c r="K201" s="185">
        <f t="shared" ref="K201" si="148">IF(M200&lt;=0,K199,M199)</f>
        <v>8.9477050781249998E-2</v>
      </c>
      <c r="L201" s="185">
        <f t="shared" si="114"/>
        <v>8.947772216796876E-2</v>
      </c>
      <c r="M201" s="41">
        <f t="shared" ref="M201" si="149">IF(M200="","",IF(M200=0,M199,IF(L201="",M199*2,(K201+L201)/2)))</f>
        <v>8.9477386474609372E-2</v>
      </c>
      <c r="N201" s="3"/>
      <c r="O201" s="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"/>
      <c r="AA201" s="3"/>
    </row>
    <row r="202" spans="1:27" x14ac:dyDescent="0.25">
      <c r="A202" s="3"/>
      <c r="B202" s="3"/>
      <c r="C202" s="3"/>
      <c r="D202" s="3"/>
      <c r="E202" s="55"/>
      <c r="F202" s="3"/>
      <c r="G202" s="3"/>
      <c r="H202" s="3"/>
      <c r="I202" s="3"/>
      <c r="J202" s="3"/>
      <c r="K202" s="185"/>
      <c r="L202" s="185"/>
      <c r="M202" s="63">
        <f>IF($M$63=структура!$P$14,"",SUM(O202:Z202)-$M$29)</f>
        <v>7.0679663622286171E-4</v>
      </c>
      <c r="N202" s="3"/>
      <c r="O202" s="3"/>
      <c r="P202" s="33">
        <f>IF($M$63=структура!$P$14,"",(P$18-P$22-P$12)/POWER(1+$M201,P$1))</f>
        <v>-64250.98939089488</v>
      </c>
      <c r="Q202" s="33">
        <f>IF($M$63=структура!$P$14,"",(Q$18-Q$22-Q$12)/POWER(1+$M201,Q$1))</f>
        <v>-4.9039237269030327E-11</v>
      </c>
      <c r="R202" s="33">
        <f>IF($M$63=структура!$P$14,"",(R$18-R$22-R$12)/POWER(1+$M201,R$1))</f>
        <v>9.0023414671715554E-11</v>
      </c>
      <c r="S202" s="33">
        <f>IF($M$63=структура!$P$14,"",(S$18-S$22-S$12)/POWER(1+$M201,S$1))</f>
        <v>-8.2629906585778911E-11</v>
      </c>
      <c r="T202" s="33">
        <f>IF($M$63=структура!$P$14,"",(T$18-T$22-T$12)/POWER(1+$M201,T$1))</f>
        <v>-41453.592772775468</v>
      </c>
      <c r="U202" s="33">
        <f>IF($M$63=структура!$P$14,"",(U$18-U$22-U$12)/POWER(1+$M201,U$1))</f>
        <v>-1.3922935678867986E-10</v>
      </c>
      <c r="V202" s="33">
        <f>IF($M$63=структура!$P$14,"",(V$18-V$22-V$12)/POWER(1+$M201,V$1))</f>
        <v>5454.606833614891</v>
      </c>
      <c r="W202" s="33">
        <f>IF($M$63=структура!$P$14,"",(W$18-W$22-W$12)/POWER(1+$M201,W$1))</f>
        <v>20061.412783667791</v>
      </c>
      <c r="X202" s="33">
        <f>IF($M$63=структура!$P$14,"",(X$18-X$22-X$12)/POWER(1+$M201,X$1))</f>
        <v>188045.42471509831</v>
      </c>
      <c r="Y202" s="33">
        <f>IF($M$63=структура!$P$14,"",(Y$18-Y$22-Y$12)/POWER(1+$M201,Y$1))</f>
        <v>-49562.392220501817</v>
      </c>
      <c r="Z202" s="3"/>
      <c r="AA202" s="3"/>
    </row>
    <row r="203" spans="1:27" x14ac:dyDescent="0.25">
      <c r="A203" s="3"/>
      <c r="B203" s="3"/>
      <c r="C203" s="3"/>
      <c r="D203" s="3"/>
      <c r="E203" s="55"/>
      <c r="F203" s="3"/>
      <c r="G203" s="3"/>
      <c r="H203" s="3"/>
      <c r="I203" s="3"/>
      <c r="J203" s="3"/>
      <c r="K203" s="185">
        <f t="shared" ref="K203" si="150">IF(M202&lt;=0,K201,M201)</f>
        <v>8.9477386474609372E-2</v>
      </c>
      <c r="L203" s="185">
        <f t="shared" si="114"/>
        <v>8.947772216796876E-2</v>
      </c>
      <c r="M203" s="41">
        <f t="shared" ref="M203" si="151">IF(M202="","",IF(M202=0,M201,IF(L203="",M201*2,(K203+L203)/2)))</f>
        <v>8.9477554321289066E-2</v>
      </c>
      <c r="N203" s="3"/>
      <c r="O203" s="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"/>
      <c r="AA203" s="3"/>
    </row>
    <row r="204" spans="1:27" x14ac:dyDescent="0.25">
      <c r="A204" s="3"/>
      <c r="B204" s="3"/>
      <c r="C204" s="3"/>
      <c r="D204" s="3"/>
      <c r="E204" s="55"/>
      <c r="F204" s="3"/>
      <c r="G204" s="3"/>
      <c r="H204" s="3"/>
      <c r="I204" s="3"/>
      <c r="J204" s="3"/>
      <c r="K204" s="185"/>
      <c r="L204" s="185"/>
      <c r="M204" s="63">
        <f>IF($M$63=структура!$P$14,"",SUM(O204:Z204)-$M$29)</f>
        <v>-0.17244903182290727</v>
      </c>
      <c r="N204" s="3"/>
      <c r="O204" s="3"/>
      <c r="P204" s="33">
        <f>IF($M$63=структура!$P$14,"",(P$18-P$22-P$12)/POWER(1+$M203,P$1))</f>
        <v>-64250.979492283208</v>
      </c>
      <c r="Q204" s="33">
        <f>IF($M$63=структура!$P$14,"",(Q$18-Q$22-Q$12)/POWER(1+$M203,Q$1))</f>
        <v>-4.9039222158902587E-11</v>
      </c>
      <c r="R204" s="33">
        <f>IF($M$63=структура!$P$14,"",(R$18-R$22-R$12)/POWER(1+$M203,R$1))</f>
        <v>9.0023373064261986E-11</v>
      </c>
      <c r="S204" s="33">
        <f>IF($M$63=структура!$P$14,"",(S$18-S$22-S$12)/POWER(1+$M203,S$1))</f>
        <v>-8.2629855665400826E-11</v>
      </c>
      <c r="T204" s="33">
        <f>IF($M$63=структура!$P$14,"",(T$18-T$22-T$12)/POWER(1+$M203,T$1))</f>
        <v>-41453.560840746526</v>
      </c>
      <c r="U204" s="33">
        <f>IF($M$63=структура!$P$14,"",(U$18-U$22-U$12)/POWER(1+$M203,U$1))</f>
        <v>-1.3922922808932588E-10</v>
      </c>
      <c r="V204" s="33">
        <f>IF($M$63=структура!$P$14,"",(V$18-V$22-V$12)/POWER(1+$M203,V$1))</f>
        <v>5454.6009511985603</v>
      </c>
      <c r="W204" s="33">
        <f>IF($M$63=структура!$P$14,"",(W$18-W$22-W$12)/POWER(1+$M203,W$1))</f>
        <v>20061.38805813072</v>
      </c>
      <c r="X204" s="33">
        <f>IF($M$63=структура!$P$14,"",(X$18-X$22-X$12)/POWER(1+$M203,X$1))</f>
        <v>188045.16398001005</v>
      </c>
      <c r="Y204" s="33">
        <f>IF($M$63=структура!$P$14,"",(Y$18-Y$22-Y$12)/POWER(1+$M203,Y$1))</f>
        <v>-49562.315863929216</v>
      </c>
      <c r="Z204" s="3"/>
      <c r="AA204" s="3"/>
    </row>
    <row r="205" spans="1:27" x14ac:dyDescent="0.25">
      <c r="A205" s="3"/>
      <c r="B205" s="3"/>
      <c r="C205" s="3"/>
      <c r="D205" s="3"/>
      <c r="E205" s="55"/>
      <c r="F205" s="3"/>
      <c r="G205" s="3"/>
      <c r="H205" s="3"/>
      <c r="I205" s="3"/>
      <c r="J205" s="3"/>
      <c r="K205" s="185">
        <f t="shared" ref="K205" si="152">IF(M204&lt;=0,K203,M203)</f>
        <v>8.9477386474609372E-2</v>
      </c>
      <c r="L205" s="185">
        <f t="shared" si="114"/>
        <v>8.9477554321289066E-2</v>
      </c>
      <c r="M205" s="41">
        <f t="shared" ref="M205" si="153">IF(M204="","",IF(M204=0,M203,IF(L205="",M203*2,(K205+L205)/2)))</f>
        <v>8.9477470397949219E-2</v>
      </c>
      <c r="N205" s="3"/>
      <c r="O205" s="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"/>
      <c r="AA205" s="3"/>
    </row>
    <row r="206" spans="1:27" x14ac:dyDescent="0.25">
      <c r="A206" s="3"/>
      <c r="B206" s="3"/>
      <c r="C206" s="3"/>
      <c r="D206" s="3"/>
      <c r="E206" s="55"/>
      <c r="F206" s="3"/>
      <c r="G206" s="3"/>
      <c r="H206" s="3"/>
      <c r="I206" s="3"/>
      <c r="J206" s="3"/>
      <c r="K206" s="185"/>
      <c r="L206" s="185"/>
      <c r="M206" s="63">
        <f>IF($M$63=структура!$P$14,"",SUM(O206:Z206)-$M$29)</f>
        <v>-8.5871152739855461E-2</v>
      </c>
      <c r="N206" s="3"/>
      <c r="O206" s="3"/>
      <c r="P206" s="33">
        <f>IF($M$63=структура!$P$14,"",(P$18-P$22-P$12)/POWER(1+$M205,P$1))</f>
        <v>-64250.984441588662</v>
      </c>
      <c r="Q206" s="33">
        <f>IF($M$63=структура!$P$14,"",(Q$18-Q$22-Q$12)/POWER(1+$M205,Q$1))</f>
        <v>-4.9039229713965585E-11</v>
      </c>
      <c r="R206" s="33">
        <f>IF($M$63=структура!$P$14,"",(R$18-R$22-R$12)/POWER(1+$M205,R$1))</f>
        <v>9.0023393867985565E-11</v>
      </c>
      <c r="S206" s="33">
        <f>IF($M$63=структура!$P$14,"",(S$18-S$22-S$12)/POWER(1+$M205,S$1))</f>
        <v>-8.262988112558497E-11</v>
      </c>
      <c r="T206" s="33">
        <f>IF($M$63=структура!$P$14,"",(T$18-T$22-T$12)/POWER(1+$M205,T$1))</f>
        <v>-41453.576806757308</v>
      </c>
      <c r="U206" s="33">
        <f>IF($M$63=структура!$P$14,"",(U$18-U$22-U$12)/POWER(1+$M205,U$1))</f>
        <v>-1.3922929243898553E-10</v>
      </c>
      <c r="V206" s="33">
        <f>IF($M$63=структура!$P$14,"",(V$18-V$22-V$12)/POWER(1+$M205,V$1))</f>
        <v>5454.6038924058203</v>
      </c>
      <c r="W206" s="33">
        <f>IF($M$63=структура!$P$14,"",(W$18-W$22-W$12)/POWER(1+$M205,W$1))</f>
        <v>20061.400420894974</v>
      </c>
      <c r="X206" s="33">
        <f>IF($M$63=структура!$P$14,"",(X$18-X$22-X$12)/POWER(1+$M205,X$1))</f>
        <v>188045.29434750398</v>
      </c>
      <c r="Y206" s="33">
        <f>IF($M$63=структура!$P$14,"",(Y$18-Y$22-Y$12)/POWER(1+$M205,Y$1))</f>
        <v>-49562.354042199353</v>
      </c>
      <c r="Z206" s="3"/>
      <c r="AA206" s="3"/>
    </row>
    <row r="207" spans="1:27" x14ac:dyDescent="0.25">
      <c r="A207" s="3"/>
      <c r="B207" s="3"/>
      <c r="C207" s="3"/>
      <c r="D207" s="3"/>
      <c r="E207" s="55"/>
      <c r="F207" s="3"/>
      <c r="G207" s="3"/>
      <c r="H207" s="3"/>
      <c r="I207" s="3"/>
      <c r="J207" s="3"/>
      <c r="K207" s="185">
        <f t="shared" ref="K207" si="154">IF(M206&lt;=0,K205,M205)</f>
        <v>8.9477386474609372E-2</v>
      </c>
      <c r="L207" s="185">
        <f t="shared" si="114"/>
        <v>8.9477470397949219E-2</v>
      </c>
      <c r="M207" s="41">
        <f t="shared" ref="M207" si="155">IF(M206="","",IF(M206=0,M205,IF(L207="",M205*2,(K207+L207)/2)))</f>
        <v>8.9477428436279288E-2</v>
      </c>
      <c r="N207" s="3"/>
      <c r="O207" s="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"/>
      <c r="AA207" s="3"/>
    </row>
    <row r="208" spans="1:27" x14ac:dyDescent="0.25">
      <c r="A208" s="3"/>
      <c r="B208" s="3"/>
      <c r="C208" s="3"/>
      <c r="D208" s="3"/>
      <c r="E208" s="55"/>
      <c r="F208" s="3"/>
      <c r="G208" s="3"/>
      <c r="H208" s="3"/>
      <c r="I208" s="3"/>
      <c r="J208" s="3"/>
      <c r="K208" s="185"/>
      <c r="L208" s="185"/>
      <c r="M208" s="63">
        <f>IF($M$63=структура!$P$14,"",SUM(O208:Z208)-$M$29)</f>
        <v>-4.258218683389714E-2</v>
      </c>
      <c r="N208" s="3"/>
      <c r="O208" s="3"/>
      <c r="P208" s="33">
        <f>IF($M$63=структура!$P$14,"",(P$18-P$22-P$12)/POWER(1+$M207,P$1))</f>
        <v>-64250.98691624168</v>
      </c>
      <c r="Q208" s="33">
        <f>IF($M$63=структура!$P$14,"",(Q$18-Q$22-Q$12)/POWER(1+$M207,Q$1))</f>
        <v>-4.903923349149774E-11</v>
      </c>
      <c r="R208" s="33">
        <f>IF($M$63=структура!$P$14,"",(R$18-R$22-R$12)/POWER(1+$M207,R$1))</f>
        <v>9.0023404269849765E-11</v>
      </c>
      <c r="S208" s="33">
        <f>IF($M$63=структура!$P$14,"",(S$18-S$22-S$12)/POWER(1+$M207,S$1))</f>
        <v>-8.2629893855680719E-11</v>
      </c>
      <c r="T208" s="33">
        <f>IF($M$63=структура!$P$14,"",(T$18-T$22-T$12)/POWER(1+$M207,T$1))</f>
        <v>-41453.584789765468</v>
      </c>
      <c r="U208" s="33">
        <f>IF($M$63=структура!$P$14,"",(U$18-U$22-U$12)/POWER(1+$M207,U$1))</f>
        <v>-1.3922932461382836E-10</v>
      </c>
      <c r="V208" s="33">
        <f>IF($M$63=структура!$P$14,"",(V$18-V$22-V$12)/POWER(1+$M207,V$1))</f>
        <v>5454.6053630101287</v>
      </c>
      <c r="W208" s="33">
        <f>IF($M$63=структура!$P$14,"",(W$18-W$22-W$12)/POWER(1+$M207,W$1))</f>
        <v>20061.406602280313</v>
      </c>
      <c r="X208" s="33">
        <f>IF($M$63=структура!$P$14,"",(X$18-X$22-X$12)/POWER(1+$M207,X$1))</f>
        <v>188045.35953128862</v>
      </c>
      <c r="Y208" s="33">
        <f>IF($M$63=структура!$P$14,"",(Y$18-Y$22-Y$12)/POWER(1+$M207,Y$1))</f>
        <v>-49562.373131346547</v>
      </c>
      <c r="Z208" s="3"/>
      <c r="AA208" s="3"/>
    </row>
    <row r="209" spans="1:27" x14ac:dyDescent="0.25">
      <c r="A209" s="3"/>
      <c r="B209" s="3"/>
      <c r="C209" s="3"/>
      <c r="D209" s="3"/>
      <c r="E209" s="55"/>
      <c r="F209" s="3"/>
      <c r="G209" s="3"/>
      <c r="H209" s="3"/>
      <c r="I209" s="3"/>
      <c r="J209" s="3"/>
      <c r="K209" s="185">
        <f t="shared" ref="K209" si="156">IF(M208&lt;=0,K207,M207)</f>
        <v>8.9477386474609372E-2</v>
      </c>
      <c r="L209" s="185">
        <f t="shared" si="114"/>
        <v>8.9477428436279288E-2</v>
      </c>
      <c r="M209" s="41">
        <f t="shared" ref="M209" si="157">IF(M208="","",IF(M208=0,M207,IF(L209="",M207*2,(K209+L209)/2)))</f>
        <v>8.947740745544433E-2</v>
      </c>
      <c r="N209" s="3"/>
      <c r="O209" s="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"/>
      <c r="AA209" s="3"/>
    </row>
    <row r="210" spans="1:27" x14ac:dyDescent="0.25">
      <c r="A210" s="3"/>
      <c r="B210" s="3"/>
      <c r="C210" s="3"/>
      <c r="D210" s="3"/>
      <c r="E210" s="55"/>
      <c r="F210" s="3"/>
      <c r="G210" s="3"/>
      <c r="H210" s="3"/>
      <c r="I210" s="3"/>
      <c r="J210" s="3"/>
      <c r="K210" s="185"/>
      <c r="L210" s="185"/>
      <c r="M210" s="63">
        <f>IF($M$63=структура!$P$14,"",SUM(O210:Z210)-$M$29)</f>
        <v>-2.093769716884708E-2</v>
      </c>
      <c r="N210" s="3"/>
      <c r="O210" s="3"/>
      <c r="P210" s="33">
        <f>IF($M$63=структура!$P$14,"",(P$18-P$22-P$12)/POWER(1+$M209,P$1))</f>
        <v>-64250.988153568265</v>
      </c>
      <c r="Q210" s="33">
        <f>IF($M$63=структура!$P$14,"",(Q$18-Q$22-Q$12)/POWER(1+$M209,Q$1))</f>
        <v>-4.9039235380263998E-11</v>
      </c>
      <c r="R210" s="33">
        <f>IF($M$63=структура!$P$14,"",(R$18-R$22-R$12)/POWER(1+$M209,R$1))</f>
        <v>9.0023409470782478E-11</v>
      </c>
      <c r="S210" s="33">
        <f>IF($M$63=структура!$P$14,"",(S$18-S$22-S$12)/POWER(1+$M209,S$1))</f>
        <v>-8.2629900220729563E-11</v>
      </c>
      <c r="T210" s="33">
        <f>IF($M$63=структура!$P$14,"",(T$18-T$22-T$12)/POWER(1+$M209,T$1))</f>
        <v>-41453.588781270271</v>
      </c>
      <c r="U210" s="33">
        <f>IF($M$63=структура!$P$14,"",(U$18-U$22-U$12)/POWER(1+$M209,U$1))</f>
        <v>-1.3922934070125314E-10</v>
      </c>
      <c r="V210" s="33">
        <f>IF($M$63=структура!$P$14,"",(V$18-V$22-V$12)/POWER(1+$M209,V$1))</f>
        <v>5454.606098312458</v>
      </c>
      <c r="W210" s="33">
        <f>IF($M$63=структура!$P$14,"",(W$18-W$22-W$12)/POWER(1+$M209,W$1))</f>
        <v>20061.409692973808</v>
      </c>
      <c r="X210" s="33">
        <f>IF($M$63=структура!$P$14,"",(X$18-X$22-X$12)/POWER(1+$M209,X$1))</f>
        <v>188045.39212319054</v>
      </c>
      <c r="Y210" s="33">
        <f>IF($M$63=структура!$P$14,"",(Y$18-Y$22-Y$12)/POWER(1+$M209,Y$1))</f>
        <v>-49562.382675923254</v>
      </c>
      <c r="Z210" s="3"/>
      <c r="AA210" s="3"/>
    </row>
    <row r="211" spans="1:27" x14ac:dyDescent="0.25">
      <c r="A211" s="3"/>
      <c r="B211" s="3"/>
      <c r="C211" s="3"/>
      <c r="D211" s="3"/>
      <c r="E211" s="55"/>
      <c r="F211" s="3"/>
      <c r="G211" s="3"/>
      <c r="H211" s="3"/>
      <c r="I211" s="3"/>
      <c r="J211" s="3"/>
      <c r="K211" s="185">
        <f t="shared" ref="K211" si="158">IF(M210&lt;=0,K209,M209)</f>
        <v>8.9477386474609372E-2</v>
      </c>
      <c r="L211" s="185">
        <f t="shared" si="114"/>
        <v>8.947740745544433E-2</v>
      </c>
      <c r="M211" s="41">
        <f t="shared" ref="M211" si="159">IF(M210="","",IF(M210=0,M209,IF(L211="",M209*2,(K211+L211)/2)))</f>
        <v>8.9477396965026851E-2</v>
      </c>
      <c r="N211" s="3"/>
      <c r="O211" s="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"/>
      <c r="AA211" s="3"/>
    </row>
    <row r="212" spans="1:27" x14ac:dyDescent="0.25">
      <c r="A212" s="3"/>
      <c r="B212" s="3"/>
      <c r="C212" s="3"/>
      <c r="D212" s="3"/>
      <c r="E212" s="55"/>
      <c r="F212" s="3"/>
      <c r="G212" s="3"/>
      <c r="H212" s="3"/>
      <c r="I212" s="3"/>
      <c r="J212" s="3"/>
      <c r="K212" s="185"/>
      <c r="L212" s="185"/>
      <c r="M212" s="63">
        <f>IF($M$63=структура!$P$14,"",SUM(O212:Z212)-$M$29)</f>
        <v>-1.0115450837474782E-2</v>
      </c>
      <c r="N212" s="3"/>
      <c r="O212" s="3"/>
      <c r="P212" s="33">
        <f>IF($M$63=структура!$P$14,"",(P$18-P$22-P$12)/POWER(1+$M211,P$1))</f>
        <v>-64250.988772231569</v>
      </c>
      <c r="Q212" s="33">
        <f>IF($M$63=структура!$P$14,"",(Q$18-Q$22-Q$12)/POWER(1+$M211,Q$1))</f>
        <v>-4.9039236324647147E-11</v>
      </c>
      <c r="R212" s="33">
        <f>IF($M$63=структура!$P$14,"",(R$18-R$22-R$12)/POWER(1+$M211,R$1))</f>
        <v>9.0023412071248952E-11</v>
      </c>
      <c r="S212" s="33">
        <f>IF($M$63=структура!$P$14,"",(S$18-S$22-S$12)/POWER(1+$M211,S$1))</f>
        <v>-8.262990340325416E-11</v>
      </c>
      <c r="T212" s="33">
        <f>IF($M$63=структура!$P$14,"",(T$18-T$22-T$12)/POWER(1+$M211,T$1))</f>
        <v>-41453.590777022815</v>
      </c>
      <c r="U212" s="33">
        <f>IF($M$63=структура!$P$14,"",(U$18-U$22-U$12)/POWER(1+$M211,U$1))</f>
        <v>-1.3922934874496623E-10</v>
      </c>
      <c r="V212" s="33">
        <f>IF($M$63=структура!$P$14,"",(V$18-V$22-V$12)/POWER(1+$M211,V$1))</f>
        <v>5454.6064659636595</v>
      </c>
      <c r="W212" s="33">
        <f>IF($M$63=структура!$P$14,"",(W$18-W$22-W$12)/POWER(1+$M211,W$1))</f>
        <v>20061.411238320732</v>
      </c>
      <c r="X212" s="33">
        <f>IF($M$63=структура!$P$14,"",(X$18-X$22-X$12)/POWER(1+$M211,X$1))</f>
        <v>188045.40841914364</v>
      </c>
      <c r="Y212" s="33">
        <f>IF($M$63=структура!$P$14,"",(Y$18-Y$22-Y$12)/POWER(1+$M211,Y$1))</f>
        <v>-49562.387448212285</v>
      </c>
      <c r="Z212" s="3"/>
      <c r="AA212" s="3"/>
    </row>
    <row r="213" spans="1:27" x14ac:dyDescent="0.25">
      <c r="A213" s="3"/>
      <c r="B213" s="3"/>
      <c r="C213" s="3"/>
      <c r="D213" s="3"/>
      <c r="E213" s="55"/>
      <c r="F213" s="3"/>
      <c r="G213" s="3"/>
      <c r="H213" s="3"/>
      <c r="I213" s="3"/>
      <c r="J213" s="3"/>
      <c r="K213" s="185">
        <f t="shared" ref="K213" si="160">IF(M212&lt;=0,K211,M211)</f>
        <v>8.9477386474609372E-2</v>
      </c>
      <c r="L213" s="185">
        <f t="shared" si="114"/>
        <v>8.9477396965026851E-2</v>
      </c>
      <c r="M213" s="41">
        <f t="shared" ref="M213" si="161">IF(M212="","",IF(M212=0,M211,IF(L213="",M211*2,(K213+L213)/2)))</f>
        <v>8.9477391719818111E-2</v>
      </c>
      <c r="N213" s="3"/>
      <c r="O213" s="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"/>
      <c r="AA213" s="3"/>
    </row>
    <row r="214" spans="1:27" x14ac:dyDescent="0.25">
      <c r="A214" s="3"/>
      <c r="B214" s="3"/>
      <c r="C214" s="3"/>
      <c r="D214" s="3"/>
      <c r="E214" s="55"/>
      <c r="F214" s="3"/>
      <c r="G214" s="3"/>
      <c r="H214" s="3"/>
      <c r="I214" s="3"/>
      <c r="J214" s="3"/>
      <c r="K214" s="185"/>
      <c r="L214" s="185"/>
      <c r="M214" s="63">
        <f>IF($M$63=структура!$P$14,"",SUM(O214:Z214)-$M$29)</f>
        <v>-4.7043272425071336E-3</v>
      </c>
      <c r="N214" s="3"/>
      <c r="O214" s="3"/>
      <c r="P214" s="33">
        <f>IF($M$63=структура!$P$14,"",(P$18-P$22-P$12)/POWER(1+$M213,P$1))</f>
        <v>-64250.989081563224</v>
      </c>
      <c r="Q214" s="33">
        <f>IF($M$63=структура!$P$14,"",(Q$18-Q$22-Q$12)/POWER(1+$M213,Q$1))</f>
        <v>-4.9039236796838734E-11</v>
      </c>
      <c r="R214" s="33">
        <f>IF($M$63=структура!$P$14,"",(R$18-R$22-R$12)/POWER(1+$M213,R$1))</f>
        <v>9.002341337148224E-11</v>
      </c>
      <c r="S214" s="33">
        <f>IF($M$63=структура!$P$14,"",(S$18-S$22-S$12)/POWER(1+$M213,S$1))</f>
        <v>-8.262990499451651E-11</v>
      </c>
      <c r="T214" s="33">
        <f>IF($M$63=структура!$P$14,"",(T$18-T$22-T$12)/POWER(1+$M213,T$1))</f>
        <v>-41453.591774899127</v>
      </c>
      <c r="U214" s="33">
        <f>IF($M$63=структура!$P$14,"",(U$18-U$22-U$12)/POWER(1+$M213,U$1))</f>
        <v>-1.3922935276682298E-10</v>
      </c>
      <c r="V214" s="33">
        <f>IF($M$63=структура!$P$14,"",(V$18-V$22-V$12)/POWER(1+$M213,V$1))</f>
        <v>5454.6066497892707</v>
      </c>
      <c r="W214" s="33">
        <f>IF($M$63=структура!$P$14,"",(W$18-W$22-W$12)/POWER(1+$M213,W$1))</f>
        <v>20061.412010994241</v>
      </c>
      <c r="X214" s="33">
        <f>IF($M$63=структура!$P$14,"",(X$18-X$22-X$12)/POWER(1+$M213,X$1))</f>
        <v>188045.41656712076</v>
      </c>
      <c r="Y214" s="33">
        <f>IF($M$63=структура!$P$14,"",(Y$18-Y$22-Y$12)/POWER(1+$M213,Y$1))</f>
        <v>-49562.389834356982</v>
      </c>
      <c r="Z214" s="3"/>
      <c r="AA214" s="3"/>
    </row>
    <row r="215" spans="1:27" x14ac:dyDescent="0.25">
      <c r="A215" s="3"/>
      <c r="B215" s="3"/>
      <c r="C215" s="3"/>
      <c r="D215" s="3"/>
      <c r="E215" s="55"/>
      <c r="F215" s="3"/>
      <c r="G215" s="3"/>
      <c r="H215" s="3"/>
      <c r="I215" s="3"/>
      <c r="J215" s="3"/>
      <c r="K215" s="185">
        <f t="shared" ref="K215" si="162">IF(M214&lt;=0,K213,M213)</f>
        <v>8.9477386474609372E-2</v>
      </c>
      <c r="L215" s="185">
        <f t="shared" si="114"/>
        <v>8.9477391719818111E-2</v>
      </c>
      <c r="M215" s="41">
        <f t="shared" ref="M215" si="163">IF(M214="","",IF(M214=0,M213,IF(L215="",M213*2,(K215+L215)/2)))</f>
        <v>8.9477389097213741E-2</v>
      </c>
      <c r="N215" s="3"/>
      <c r="O215" s="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"/>
      <c r="AA215" s="3"/>
    </row>
    <row r="216" spans="1:27" x14ac:dyDescent="0.25">
      <c r="A216" s="3"/>
      <c r="B216" s="3"/>
      <c r="C216" s="3"/>
      <c r="D216" s="3"/>
      <c r="E216" s="55"/>
      <c r="F216" s="3"/>
      <c r="G216" s="3"/>
      <c r="H216" s="3"/>
      <c r="I216" s="3"/>
      <c r="J216" s="3"/>
      <c r="K216" s="185"/>
      <c r="L216" s="185"/>
      <c r="M216" s="63">
        <f>IF($M$63=структура!$P$14,"",SUM(O216:Z216)-$M$29)</f>
        <v>-1.9987653140560724E-3</v>
      </c>
      <c r="N216" s="3"/>
      <c r="O216" s="3"/>
      <c r="P216" s="33">
        <f>IF($M$63=структура!$P$14,"",(P$18-P$22-P$12)/POWER(1+$M215,P$1))</f>
        <v>-64250.989236229048</v>
      </c>
      <c r="Q216" s="33">
        <f>IF($M$63=структура!$P$14,"",(Q$18-Q$22-Q$12)/POWER(1+$M215,Q$1))</f>
        <v>-4.9039237032934537E-11</v>
      </c>
      <c r="R216" s="33">
        <f>IF($M$63=структура!$P$14,"",(R$18-R$22-R$12)/POWER(1+$M215,R$1))</f>
        <v>9.0023414021598897E-11</v>
      </c>
      <c r="S216" s="33">
        <f>IF($M$63=структура!$P$14,"",(S$18-S$22-S$12)/POWER(1+$M215,S$1))</f>
        <v>-8.262990579014773E-11</v>
      </c>
      <c r="T216" s="33">
        <f>IF($M$63=структура!$P$14,"",(T$18-T$22-T$12)/POWER(1+$M215,T$1))</f>
        <v>-41453.592273837305</v>
      </c>
      <c r="U216" s="33">
        <f>IF($M$63=структура!$P$14,"",(U$18-U$22-U$12)/POWER(1+$M215,U$1))</f>
        <v>-1.3922935477775145E-10</v>
      </c>
      <c r="V216" s="33">
        <f>IF($M$63=структура!$P$14,"",(V$18-V$22-V$12)/POWER(1+$M215,V$1))</f>
        <v>5454.6067417020813</v>
      </c>
      <c r="W216" s="33">
        <f>IF($M$63=структура!$P$14,"",(W$18-W$22-W$12)/POWER(1+$M215,W$1))</f>
        <v>20061.41239733102</v>
      </c>
      <c r="X216" s="33">
        <f>IF($M$63=структура!$P$14,"",(X$18-X$22-X$12)/POWER(1+$M215,X$1))</f>
        <v>188045.42064110955</v>
      </c>
      <c r="Y216" s="33">
        <f>IF($M$63=структура!$P$14,"",(Y$18-Y$22-Y$12)/POWER(1+$M215,Y$1))</f>
        <v>-49562.39102742941</v>
      </c>
      <c r="Z216" s="3"/>
      <c r="AA216" s="3"/>
    </row>
    <row r="217" spans="1:27" x14ac:dyDescent="0.25">
      <c r="A217" s="3"/>
      <c r="B217" s="3"/>
      <c r="C217" s="3"/>
      <c r="D217" s="3"/>
      <c r="E217" s="55"/>
      <c r="F217" s="3"/>
      <c r="G217" s="3"/>
      <c r="H217" s="3"/>
      <c r="I217" s="3"/>
      <c r="J217" s="3"/>
      <c r="K217" s="185">
        <f t="shared" ref="K217" si="164">IF(M216&lt;=0,K215,M215)</f>
        <v>8.9477386474609372E-2</v>
      </c>
      <c r="L217" s="185">
        <f t="shared" si="114"/>
        <v>8.9477389097213741E-2</v>
      </c>
      <c r="M217" s="41">
        <f t="shared" ref="M217" si="165">IF(M216="","",IF(M216=0,M215,IF(L217="",M215*2,(K217+L217)/2)))</f>
        <v>8.947738778591155E-2</v>
      </c>
      <c r="N217" s="3"/>
      <c r="O217" s="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"/>
      <c r="AA217" s="3"/>
    </row>
    <row r="218" spans="1:27" x14ac:dyDescent="0.25">
      <c r="A218" s="3"/>
      <c r="B218" s="3"/>
      <c r="C218" s="3"/>
      <c r="D218" s="3"/>
      <c r="E218" s="55"/>
      <c r="F218" s="3"/>
      <c r="G218" s="3"/>
      <c r="H218" s="3"/>
      <c r="I218" s="3"/>
      <c r="J218" s="3"/>
      <c r="K218" s="185"/>
      <c r="L218" s="185"/>
      <c r="M218" s="63">
        <f>IF($M$63=структура!$P$14,"",SUM(O218:Z218)-$M$29)</f>
        <v>-6.4598429889883846E-4</v>
      </c>
      <c r="N218" s="3"/>
      <c r="O218" s="3"/>
      <c r="P218" s="33">
        <f>IF($M$63=структура!$P$14,"",(P$18-P$22-P$12)/POWER(1+$M217,P$1))</f>
        <v>-64250.989313561964</v>
      </c>
      <c r="Q218" s="33">
        <f>IF($M$63=структура!$P$14,"",(Q$18-Q$22-Q$12)/POWER(1+$M217,Q$1))</f>
        <v>-4.9039237150982439E-11</v>
      </c>
      <c r="R218" s="33">
        <f>IF($M$63=структура!$P$14,"",(R$18-R$22-R$12)/POWER(1+$M217,R$1))</f>
        <v>9.0023414346657226E-11</v>
      </c>
      <c r="S218" s="33">
        <f>IF($M$63=структура!$P$14,"",(S$18-S$22-S$12)/POWER(1+$M217,S$1))</f>
        <v>-8.262990618796334E-11</v>
      </c>
      <c r="T218" s="33">
        <f>IF($M$63=структура!$P$14,"",(T$18-T$22-T$12)/POWER(1+$M217,T$1))</f>
        <v>-41453.592523306397</v>
      </c>
      <c r="U218" s="33">
        <f>IF($M$63=структура!$P$14,"",(U$18-U$22-U$12)/POWER(1+$M217,U$1))</f>
        <v>-1.3922935578321567E-10</v>
      </c>
      <c r="V218" s="33">
        <f>IF($M$63=структура!$P$14,"",(V$18-V$22-V$12)/POWER(1+$M217,V$1))</f>
        <v>5454.6067876584866</v>
      </c>
      <c r="W218" s="33">
        <f>IF($M$63=структура!$P$14,"",(W$18-W$22-W$12)/POWER(1+$M217,W$1))</f>
        <v>20061.412590499414</v>
      </c>
      <c r="X218" s="33">
        <f>IF($M$63=структура!$P$14,"",(X$18-X$22-X$12)/POWER(1+$M217,X$1))</f>
        <v>188045.42267810399</v>
      </c>
      <c r="Y218" s="33">
        <f>IF($M$63=структура!$P$14,"",(Y$18-Y$22-Y$12)/POWER(1+$M217,Y$1))</f>
        <v>-49562.391623965639</v>
      </c>
      <c r="Z218" s="3"/>
      <c r="AA218" s="3"/>
    </row>
    <row r="219" spans="1:27" x14ac:dyDescent="0.25">
      <c r="A219" s="3"/>
      <c r="B219" s="3"/>
      <c r="C219" s="3"/>
      <c r="D219" s="3"/>
      <c r="E219" s="55"/>
      <c r="F219" s="3"/>
      <c r="G219" s="3"/>
      <c r="H219" s="3"/>
      <c r="I219" s="3"/>
      <c r="J219" s="3"/>
      <c r="K219" s="185">
        <f t="shared" ref="K219" si="166">IF(M218&lt;=0,K217,M217)</f>
        <v>8.9477386474609372E-2</v>
      </c>
      <c r="L219" s="185">
        <f t="shared" si="114"/>
        <v>8.947738778591155E-2</v>
      </c>
      <c r="M219" s="41">
        <f t="shared" ref="M219" si="167">IF(M218="","",IF(M218=0,M217,IF(L219="",M217*2,(K219+L219)/2)))</f>
        <v>8.9477387130260461E-2</v>
      </c>
      <c r="N219" s="3"/>
      <c r="O219" s="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"/>
      <c r="AA219" s="3"/>
    </row>
    <row r="220" spans="1:27" x14ac:dyDescent="0.25">
      <c r="A220" s="3"/>
      <c r="B220" s="3"/>
      <c r="C220" s="3"/>
      <c r="D220" s="3"/>
      <c r="E220" s="55"/>
      <c r="F220" s="3"/>
      <c r="G220" s="3"/>
      <c r="H220" s="3"/>
      <c r="I220" s="3"/>
      <c r="J220" s="3"/>
      <c r="K220" s="185"/>
      <c r="L220" s="185"/>
      <c r="M220" s="63">
        <f>IF($M$63=структура!$P$14,"",SUM(O220:Z220)-$M$29)</f>
        <v>3.040611045435071E-5</v>
      </c>
      <c r="N220" s="3"/>
      <c r="O220" s="3"/>
      <c r="P220" s="33">
        <f>IF($M$63=структура!$P$14,"",(P$18-P$22-P$12)/POWER(1+$M219,P$1))</f>
        <v>-64250.989352228426</v>
      </c>
      <c r="Q220" s="33">
        <f>IF($M$63=структура!$P$14,"",(Q$18-Q$22-Q$12)/POWER(1+$M219,Q$1))</f>
        <v>-4.9039237210006377E-11</v>
      </c>
      <c r="R220" s="33">
        <f>IF($M$63=структура!$P$14,"",(R$18-R$22-R$12)/POWER(1+$M219,R$1))</f>
        <v>9.0023414509186377E-11</v>
      </c>
      <c r="S220" s="33">
        <f>IF($M$63=структура!$P$14,"",(S$18-S$22-S$12)/POWER(1+$M219,S$1))</f>
        <v>-8.2629906386871119E-11</v>
      </c>
      <c r="T220" s="33">
        <f>IF($M$63=структура!$P$14,"",(T$18-T$22-T$12)/POWER(1+$M219,T$1))</f>
        <v>-41453.592648040925</v>
      </c>
      <c r="U220" s="33">
        <f>IF($M$63=структура!$P$14,"",(U$18-U$22-U$12)/POWER(1+$M219,U$1))</f>
        <v>-1.3922935628594774E-10</v>
      </c>
      <c r="V220" s="33">
        <f>IF($M$63=структура!$P$14,"",(V$18-V$22-V$12)/POWER(1+$M219,V$1))</f>
        <v>5454.6068106366865</v>
      </c>
      <c r="W220" s="33">
        <f>IF($M$63=структура!$P$14,"",(W$18-W$22-W$12)/POWER(1+$M219,W$1))</f>
        <v>20061.412687083597</v>
      </c>
      <c r="X220" s="33">
        <f>IF($M$63=структура!$P$14,"",(X$18-X$22-X$12)/POWER(1+$M219,X$1))</f>
        <v>188045.42369660109</v>
      </c>
      <c r="Y220" s="33">
        <f>IF($M$63=структура!$P$14,"",(Y$18-Y$22-Y$12)/POWER(1+$M219,Y$1))</f>
        <v>-49562.391922233714</v>
      </c>
      <c r="Z220" s="3"/>
      <c r="AA220" s="3"/>
    </row>
    <row r="221" spans="1:27" x14ac:dyDescent="0.25">
      <c r="A221" s="3"/>
      <c r="B221" s="3"/>
      <c r="C221" s="3"/>
      <c r="D221" s="3"/>
      <c r="E221" s="55"/>
      <c r="F221" s="3"/>
      <c r="G221" s="3"/>
      <c r="H221" s="3"/>
      <c r="I221" s="3"/>
      <c r="J221" s="3"/>
      <c r="K221" s="185">
        <f t="shared" ref="K221" si="168">IF(M220&lt;=0,K219,M219)</f>
        <v>8.9477387130260461E-2</v>
      </c>
      <c r="L221" s="185">
        <f t="shared" si="114"/>
        <v>8.947738778591155E-2</v>
      </c>
      <c r="M221" s="41">
        <f t="shared" ref="M221" si="169">IF(M220="","",IF(M220=0,M219,IF(L221="",M219*2,(K221+L221)/2)))</f>
        <v>8.9477387458086005E-2</v>
      </c>
      <c r="N221" s="3"/>
      <c r="O221" s="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"/>
      <c r="AA221" s="3"/>
    </row>
    <row r="222" spans="1:27" x14ac:dyDescent="0.25">
      <c r="A222" s="3"/>
      <c r="B222" s="3"/>
      <c r="C222" s="3"/>
      <c r="D222" s="3"/>
      <c r="E222" s="55"/>
      <c r="F222" s="3"/>
      <c r="G222" s="3"/>
      <c r="H222" s="3"/>
      <c r="I222" s="3"/>
      <c r="J222" s="3"/>
      <c r="K222" s="185"/>
      <c r="L222" s="185"/>
      <c r="M222" s="63">
        <f>IF($M$63=структура!$P$14,"",SUM(O222:Z222)-$M$29)</f>
        <v>-3.0778902873862535E-4</v>
      </c>
      <c r="N222" s="3"/>
      <c r="O222" s="3"/>
      <c r="P222" s="33">
        <f>IF($M$63=структура!$P$14,"",(P$18-P$22-P$12)/POWER(1+$M221,P$1))</f>
        <v>-64250.989332895195</v>
      </c>
      <c r="Q222" s="33">
        <f>IF($M$63=структура!$P$14,"",(Q$18-Q$22-Q$12)/POWER(1+$M221,Q$1))</f>
        <v>-4.9039237180494414E-11</v>
      </c>
      <c r="R222" s="33">
        <f>IF($M$63=структура!$P$14,"",(R$18-R$22-R$12)/POWER(1+$M221,R$1))</f>
        <v>9.0023414427921801E-11</v>
      </c>
      <c r="S222" s="33">
        <f>IF($M$63=структура!$P$14,"",(S$18-S$22-S$12)/POWER(1+$M221,S$1))</f>
        <v>-8.2629906287417243E-11</v>
      </c>
      <c r="T222" s="33">
        <f>IF($M$63=структура!$P$14,"",(T$18-T$22-T$12)/POWER(1+$M221,T$1))</f>
        <v>-41453.592585673665</v>
      </c>
      <c r="U222" s="33">
        <f>IF($M$63=структура!$P$14,"",(U$18-U$22-U$12)/POWER(1+$M221,U$1))</f>
        <v>-1.3922935603458174E-10</v>
      </c>
      <c r="V222" s="33">
        <f>IF($M$63=структура!$P$14,"",(V$18-V$22-V$12)/POWER(1+$M221,V$1))</f>
        <v>5454.6067991475884</v>
      </c>
      <c r="W222" s="33">
        <f>IF($M$63=структура!$P$14,"",(W$18-W$22-W$12)/POWER(1+$M221,W$1))</f>
        <v>20061.412638791513</v>
      </c>
      <c r="X222" s="33">
        <f>IF($M$63=структура!$P$14,"",(X$18-X$22-X$12)/POWER(1+$M221,X$1))</f>
        <v>188045.42318735263</v>
      </c>
      <c r="Y222" s="33">
        <f>IF($M$63=структура!$P$14,"",(Y$18-Y$22-Y$12)/POWER(1+$M221,Y$1))</f>
        <v>-49562.391773099705</v>
      </c>
      <c r="Z222" s="3"/>
      <c r="AA222" s="3"/>
    </row>
    <row r="223" spans="1:27" x14ac:dyDescent="0.25">
      <c r="A223" s="3"/>
      <c r="B223" s="3"/>
      <c r="C223" s="3"/>
      <c r="D223" s="3"/>
      <c r="E223" s="55"/>
      <c r="F223" s="3"/>
      <c r="G223" s="3"/>
      <c r="H223" s="3"/>
      <c r="I223" s="3"/>
      <c r="J223" s="3"/>
      <c r="K223" s="185">
        <f t="shared" ref="K223" si="170">IF(M222&lt;=0,K221,M221)</f>
        <v>8.9477387130260461E-2</v>
      </c>
      <c r="L223" s="185">
        <f t="shared" si="114"/>
        <v>8.9477387458086005E-2</v>
      </c>
      <c r="M223" s="41">
        <f t="shared" ref="M223" si="171">IF(M222="","",IF(M222=0,M221,IF(L223="",M221*2,(K223+L223)/2)))</f>
        <v>8.9477387294173233E-2</v>
      </c>
      <c r="N223" s="3"/>
      <c r="O223" s="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"/>
      <c r="AA223" s="3"/>
    </row>
    <row r="224" spans="1:27" x14ac:dyDescent="0.25">
      <c r="A224" s="3"/>
      <c r="B224" s="3"/>
      <c r="C224" s="3"/>
      <c r="D224" s="3"/>
      <c r="E224" s="55"/>
      <c r="F224" s="3"/>
      <c r="G224" s="3"/>
      <c r="H224" s="3"/>
      <c r="I224" s="3"/>
      <c r="J224" s="3"/>
      <c r="K224" s="185"/>
      <c r="L224" s="185"/>
      <c r="M224" s="63">
        <f>IF($M$63=структура!$P$14,"",SUM(O224:Z224)-$M$29)</f>
        <v>-1.3869131362298504E-4</v>
      </c>
      <c r="N224" s="3"/>
      <c r="O224" s="3"/>
      <c r="P224" s="33">
        <f>IF($M$63=структура!$P$14,"",(P$18-P$22-P$12)/POWER(1+$M223,P$1))</f>
        <v>-64250.989342561814</v>
      </c>
      <c r="Q224" s="33">
        <f>IF($M$63=структура!$P$14,"",(Q$18-Q$22-Q$12)/POWER(1+$M223,Q$1))</f>
        <v>-4.9039237195250411E-11</v>
      </c>
      <c r="R224" s="33">
        <f>IF($M$63=структура!$P$14,"",(R$18-R$22-R$12)/POWER(1+$M223,R$1))</f>
        <v>9.0023414468554128E-11</v>
      </c>
      <c r="S224" s="33">
        <f>IF($M$63=структура!$P$14,"",(S$18-S$22-S$12)/POWER(1+$M223,S$1))</f>
        <v>-8.2629906337144213E-11</v>
      </c>
      <c r="T224" s="33">
        <f>IF($M$63=структура!$P$14,"",(T$18-T$22-T$12)/POWER(1+$M223,T$1))</f>
        <v>-41453.592616857321</v>
      </c>
      <c r="U224" s="33">
        <f>IF($M$63=структура!$P$14,"",(U$18-U$22-U$12)/POWER(1+$M223,U$1))</f>
        <v>-1.3922935616026486E-10</v>
      </c>
      <c r="V224" s="33">
        <f>IF($M$63=структура!$P$14,"",(V$18-V$22-V$12)/POWER(1+$M223,V$1))</f>
        <v>5454.6068048921425</v>
      </c>
      <c r="W224" s="33">
        <f>IF($M$63=структура!$P$14,"",(W$18-W$22-W$12)/POWER(1+$M223,W$1))</f>
        <v>20061.412662937575</v>
      </c>
      <c r="X224" s="33">
        <f>IF($M$63=структура!$P$14,"",(X$18-X$22-X$12)/POWER(1+$M223,X$1))</f>
        <v>188045.42344197707</v>
      </c>
      <c r="Y224" s="33">
        <f>IF($M$63=структура!$P$14,"",(Y$18-Y$22-Y$12)/POWER(1+$M223,Y$1))</f>
        <v>-49562.391847666768</v>
      </c>
      <c r="Z224" s="3"/>
      <c r="AA224" s="3"/>
    </row>
    <row r="225" spans="1:27" x14ac:dyDescent="0.25">
      <c r="A225" s="3"/>
      <c r="B225" s="3"/>
      <c r="C225" s="3"/>
      <c r="D225" s="3"/>
      <c r="E225" s="55"/>
      <c r="F225" s="3"/>
      <c r="G225" s="3"/>
      <c r="H225" s="3"/>
      <c r="I225" s="3"/>
      <c r="J225" s="3"/>
      <c r="K225" s="185">
        <f t="shared" ref="K225" si="172">IF(M224&lt;=0,K223,M223)</f>
        <v>8.9477387130260461E-2</v>
      </c>
      <c r="L225" s="185">
        <f t="shared" si="114"/>
        <v>8.9477387294173233E-2</v>
      </c>
      <c r="M225" s="41">
        <f t="shared" ref="M225" si="173">IF(M224="","",IF(M224=0,M223,IF(L225="",M223*2,(K225+L225)/2)))</f>
        <v>8.9477387212216847E-2</v>
      </c>
      <c r="N225" s="3"/>
      <c r="O225" s="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"/>
      <c r="AA225" s="3"/>
    </row>
    <row r="226" spans="1:27" x14ac:dyDescent="0.25">
      <c r="A226" s="3"/>
      <c r="B226" s="3"/>
      <c r="C226" s="3"/>
      <c r="D226" s="3"/>
      <c r="E226" s="55"/>
      <c r="F226" s="3"/>
      <c r="G226" s="3"/>
      <c r="H226" s="3"/>
      <c r="I226" s="3"/>
      <c r="J226" s="3"/>
      <c r="K226" s="185"/>
      <c r="L226" s="185"/>
      <c r="M226" s="63">
        <f>IF($M$63=структура!$P$14,"",SUM(O226:Z226)-$M$29)</f>
        <v>-5.4142459703143686E-5</v>
      </c>
      <c r="N226" s="3"/>
      <c r="O226" s="3"/>
      <c r="P226" s="33">
        <f>IF($M$63=структура!$P$14,"",(P$18-P$22-P$12)/POWER(1+$M225,P$1))</f>
        <v>-64250.989347395123</v>
      </c>
      <c r="Q226" s="33">
        <f>IF($M$63=структура!$P$14,"",(Q$18-Q$22-Q$12)/POWER(1+$M225,Q$1))</f>
        <v>-4.903923720262841E-11</v>
      </c>
      <c r="R226" s="33">
        <f>IF($M$63=структура!$P$14,"",(R$18-R$22-R$12)/POWER(1+$M225,R$1))</f>
        <v>9.0023414488870278E-11</v>
      </c>
      <c r="S226" s="33">
        <f>IF($M$63=структура!$P$14,"",(S$18-S$22-S$12)/POWER(1+$M225,S$1))</f>
        <v>-8.2629906362007712E-11</v>
      </c>
      <c r="T226" s="33">
        <f>IF($M$63=структура!$P$14,"",(T$18-T$22-T$12)/POWER(1+$M225,T$1))</f>
        <v>-41453.592632449152</v>
      </c>
      <c r="U226" s="33">
        <f>IF($M$63=структура!$P$14,"",(U$18-U$22-U$12)/POWER(1+$M225,U$1))</f>
        <v>-1.3922935622310641E-10</v>
      </c>
      <c r="V226" s="33">
        <f>IF($M$63=структура!$P$14,"",(V$18-V$22-V$12)/POWER(1+$M225,V$1))</f>
        <v>5454.6068077644195</v>
      </c>
      <c r="W226" s="33">
        <f>IF($M$63=структура!$P$14,"",(W$18-W$22-W$12)/POWER(1+$M225,W$1))</f>
        <v>20061.412675010608</v>
      </c>
      <c r="X226" s="33">
        <f>IF($M$63=структура!$P$14,"",(X$18-X$22-X$12)/POWER(1+$M225,X$1))</f>
        <v>188045.4235692893</v>
      </c>
      <c r="Y226" s="33">
        <f>IF($M$63=структура!$P$14,"",(Y$18-Y$22-Y$12)/POWER(1+$M225,Y$1))</f>
        <v>-49562.391884950317</v>
      </c>
      <c r="Z226" s="3"/>
      <c r="AA226" s="3"/>
    </row>
    <row r="227" spans="1:27" x14ac:dyDescent="0.25">
      <c r="A227" s="3"/>
      <c r="B227" s="3"/>
      <c r="C227" s="3"/>
      <c r="D227" s="3"/>
      <c r="E227" s="55"/>
      <c r="F227" s="3"/>
      <c r="G227" s="3"/>
      <c r="H227" s="3"/>
      <c r="I227" s="3"/>
      <c r="J227" s="3"/>
      <c r="K227" s="185">
        <f t="shared" ref="K227" si="174">IF(M226&lt;=0,K225,M225)</f>
        <v>8.9477387130260461E-2</v>
      </c>
      <c r="L227" s="185">
        <f t="shared" si="114"/>
        <v>8.9477387212216847E-2</v>
      </c>
      <c r="M227" s="41">
        <f t="shared" ref="M227" si="175">IF(M226="","",IF(M226=0,M225,IF(L227="",M225*2,(K227+L227)/2)))</f>
        <v>8.9477387171238654E-2</v>
      </c>
      <c r="N227" s="3"/>
      <c r="O227" s="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"/>
      <c r="AA227" s="3"/>
    </row>
    <row r="228" spans="1:27" x14ac:dyDescent="0.25">
      <c r="A228" s="3"/>
      <c r="B228" s="3"/>
      <c r="C228" s="3"/>
      <c r="D228" s="3"/>
      <c r="E228" s="55"/>
      <c r="F228" s="3"/>
      <c r="G228" s="3"/>
      <c r="H228" s="3"/>
      <c r="I228" s="3"/>
      <c r="J228" s="3"/>
      <c r="K228" s="185"/>
      <c r="L228" s="185"/>
      <c r="M228" s="63">
        <f>IF($M$63=структура!$P$14,"",SUM(O228:Z228)-$M$29)</f>
        <v>-1.1868127330671996E-5</v>
      </c>
      <c r="N228" s="3"/>
      <c r="O228" s="3"/>
      <c r="P228" s="33">
        <f>IF($M$63=структура!$P$14,"",(P$18-P$22-P$12)/POWER(1+$M227,P$1))</f>
        <v>-64250.989349811774</v>
      </c>
      <c r="Q228" s="33">
        <f>IF($M$63=структура!$P$14,"",(Q$18-Q$22-Q$12)/POWER(1+$M227,Q$1))</f>
        <v>-4.9039237206317397E-11</v>
      </c>
      <c r="R228" s="33">
        <f>IF($M$63=структура!$P$14,"",(R$18-R$22-R$12)/POWER(1+$M227,R$1))</f>
        <v>9.002341449902834E-11</v>
      </c>
      <c r="S228" s="33">
        <f>IF($M$63=структура!$P$14,"",(S$18-S$22-S$12)/POWER(1+$M227,S$1))</f>
        <v>-8.2629906374439422E-11</v>
      </c>
      <c r="T228" s="33">
        <f>IF($M$63=структура!$P$14,"",(T$18-T$22-T$12)/POWER(1+$M227,T$1))</f>
        <v>-41453.592640245042</v>
      </c>
      <c r="U228" s="33">
        <f>IF($M$63=структура!$P$14,"",(U$18-U$22-U$12)/POWER(1+$M227,U$1))</f>
        <v>-1.392293562545271E-10</v>
      </c>
      <c r="V228" s="33">
        <f>IF($M$63=структура!$P$14,"",(V$18-V$22-V$12)/POWER(1+$M227,V$1))</f>
        <v>5454.6068092005553</v>
      </c>
      <c r="W228" s="33">
        <f>IF($M$63=структура!$P$14,"",(W$18-W$22-W$12)/POWER(1+$M227,W$1))</f>
        <v>20061.41268104711</v>
      </c>
      <c r="X228" s="33">
        <f>IF($M$63=структура!$P$14,"",(X$18-X$22-X$12)/POWER(1+$M227,X$1))</f>
        <v>188045.42363294525</v>
      </c>
      <c r="Y228" s="33">
        <f>IF($M$63=структура!$P$14,"",(Y$18-Y$22-Y$12)/POWER(1+$M227,Y$1))</f>
        <v>-49562.391903592033</v>
      </c>
      <c r="Z228" s="3"/>
      <c r="AA228" s="3"/>
    </row>
    <row r="229" spans="1:27" x14ac:dyDescent="0.25">
      <c r="A229" s="3"/>
      <c r="B229" s="3"/>
      <c r="C229" s="3"/>
      <c r="D229" s="3"/>
      <c r="E229" s="55"/>
      <c r="F229" s="3"/>
      <c r="G229" s="3"/>
      <c r="H229" s="3"/>
      <c r="I229" s="3"/>
      <c r="J229" s="3"/>
      <c r="K229" s="185">
        <f t="shared" ref="K229" si="176">IF(M228&lt;=0,K227,M227)</f>
        <v>8.9477387130260461E-2</v>
      </c>
      <c r="L229" s="185">
        <f t="shared" si="114"/>
        <v>8.9477387171238654E-2</v>
      </c>
      <c r="M229" s="41">
        <f t="shared" ref="M229" si="177">IF(M228="","",IF(M228=0,M227,IF(L229="",M227*2,(K229+L229)/2)))</f>
        <v>8.9477387150749557E-2</v>
      </c>
      <c r="N229" s="3"/>
      <c r="O229" s="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"/>
      <c r="AA229" s="3"/>
    </row>
    <row r="230" spans="1:27" x14ac:dyDescent="0.25">
      <c r="A230" s="3"/>
      <c r="B230" s="3"/>
      <c r="C230" s="3"/>
      <c r="D230" s="3"/>
      <c r="E230" s="55"/>
      <c r="F230" s="3"/>
      <c r="G230" s="3"/>
      <c r="H230" s="3"/>
      <c r="I230" s="3"/>
      <c r="J230" s="3"/>
      <c r="K230" s="185"/>
      <c r="L230" s="185"/>
      <c r="M230" s="63">
        <f>IF($M$63=структура!$P$14,"",SUM(O230:Z230)-$M$29)</f>
        <v>9.2691188910976052E-6</v>
      </c>
      <c r="N230" s="3"/>
      <c r="O230" s="3"/>
      <c r="P230" s="33">
        <f>IF($M$63=структура!$P$14,"",(P$18-P$22-P$12)/POWER(1+$M229,P$1))</f>
        <v>-64250.989351020107</v>
      </c>
      <c r="Q230" s="33">
        <f>IF($M$63=структура!$P$14,"",(Q$18-Q$22-Q$12)/POWER(1+$M229,Q$1))</f>
        <v>-4.90392372081619E-11</v>
      </c>
      <c r="R230" s="33">
        <f>IF($M$63=структура!$P$14,"",(R$18-R$22-R$12)/POWER(1+$M229,R$1))</f>
        <v>9.0023414504107397E-11</v>
      </c>
      <c r="S230" s="33">
        <f>IF($M$63=структура!$P$14,"",(S$18-S$22-S$12)/POWER(1+$M229,S$1))</f>
        <v>-8.2629906380655322E-11</v>
      </c>
      <c r="T230" s="33">
        <f>IF($M$63=структура!$P$14,"",(T$18-T$22-T$12)/POWER(1+$M229,T$1))</f>
        <v>-41453.592644143013</v>
      </c>
      <c r="U230" s="33">
        <f>IF($M$63=структура!$P$14,"",(U$18-U$22-U$12)/POWER(1+$M229,U$1))</f>
        <v>-1.3922935627023754E-10</v>
      </c>
      <c r="V230" s="33">
        <f>IF($M$63=структура!$P$14,"",(V$18-V$22-V$12)/POWER(1+$M229,V$1))</f>
        <v>5454.6068099186268</v>
      </c>
      <c r="W230" s="33">
        <f>IF($M$63=структура!$P$14,"",(W$18-W$22-W$12)/POWER(1+$M229,W$1))</f>
        <v>20061.412684065373</v>
      </c>
      <c r="X230" s="33">
        <f>IF($M$63=структура!$P$14,"",(X$18-X$22-X$12)/POWER(1+$M229,X$1))</f>
        <v>188045.42366477338</v>
      </c>
      <c r="Y230" s="33">
        <f>IF($M$63=структура!$P$14,"",(Y$18-Y$22-Y$12)/POWER(1+$M229,Y$1))</f>
        <v>-49562.391912912935</v>
      </c>
      <c r="Z230" s="3"/>
      <c r="AA230" s="3"/>
    </row>
    <row r="231" spans="1:27" x14ac:dyDescent="0.25">
      <c r="A231" s="3"/>
      <c r="B231" s="3"/>
      <c r="C231" s="3"/>
      <c r="D231" s="3"/>
      <c r="E231" s="55"/>
      <c r="F231" s="3"/>
      <c r="G231" s="3"/>
      <c r="H231" s="3"/>
      <c r="I231" s="3"/>
      <c r="J231" s="3"/>
      <c r="K231" s="185">
        <f t="shared" ref="K231" si="178">IF(M230&lt;=0,K229,M229)</f>
        <v>8.9477387150749557E-2</v>
      </c>
      <c r="L231" s="185">
        <f t="shared" ref="L231:L259" si="179">IF(AND(L229="",M230&lt;=0),M229,IF(AND(L229="",M230&gt;0),"",IF(M230&lt;=0,M229,L229)))</f>
        <v>8.9477387171238654E-2</v>
      </c>
      <c r="M231" s="41">
        <f t="shared" ref="M231" si="180">IF(M230="","",IF(M230=0,M229,IF(L231="",M229*2,(K231+L231)/2)))</f>
        <v>8.9477387160994099E-2</v>
      </c>
      <c r="N231" s="3"/>
      <c r="O231" s="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"/>
      <c r="AA231" s="3"/>
    </row>
    <row r="232" spans="1:27" x14ac:dyDescent="0.25">
      <c r="A232" s="3"/>
      <c r="B232" s="3"/>
      <c r="C232" s="3"/>
      <c r="D232" s="3"/>
      <c r="E232" s="55"/>
      <c r="F232" s="3"/>
      <c r="G232" s="3"/>
      <c r="H232" s="3"/>
      <c r="I232" s="3"/>
      <c r="J232" s="3"/>
      <c r="K232" s="185"/>
      <c r="L232" s="185"/>
      <c r="M232" s="63">
        <f>IF($M$63=структура!$P$14,"",SUM(O232:Z232)-$M$29)</f>
        <v>-1.2996024452149868E-6</v>
      </c>
      <c r="N232" s="3"/>
      <c r="O232" s="3"/>
      <c r="P232" s="33">
        <f>IF($M$63=структура!$P$14,"",(P$18-P$22-P$12)/POWER(1+$M231,P$1))</f>
        <v>-64250.989350415934</v>
      </c>
      <c r="Q232" s="33">
        <f>IF($M$63=структура!$P$14,"",(Q$18-Q$22-Q$12)/POWER(1+$M231,Q$1))</f>
        <v>-4.9039237207239638E-11</v>
      </c>
      <c r="R232" s="33">
        <f>IF($M$63=структура!$P$14,"",(R$18-R$22-R$12)/POWER(1+$M231,R$1))</f>
        <v>9.0023414501567837E-11</v>
      </c>
      <c r="S232" s="33">
        <f>IF($M$63=структура!$P$14,"",(S$18-S$22-S$12)/POWER(1+$M231,S$1))</f>
        <v>-8.2629906377547333E-11</v>
      </c>
      <c r="T232" s="33">
        <f>IF($M$63=структура!$P$14,"",(T$18-T$22-T$12)/POWER(1+$M231,T$1))</f>
        <v>-41453.592642194009</v>
      </c>
      <c r="U232" s="33">
        <f>IF($M$63=структура!$P$14,"",(U$18-U$22-U$12)/POWER(1+$M231,U$1))</f>
        <v>-1.3922935626238222E-10</v>
      </c>
      <c r="V232" s="33">
        <f>IF($M$63=структура!$P$14,"",(V$18-V$22-V$12)/POWER(1+$M231,V$1))</f>
        <v>5454.6068095595865</v>
      </c>
      <c r="W232" s="33">
        <f>IF($M$63=структура!$P$14,"",(W$18-W$22-W$12)/POWER(1+$M231,W$1))</f>
        <v>20061.412682556223</v>
      </c>
      <c r="X232" s="33">
        <f>IF($M$63=структура!$P$14,"",(X$18-X$22-X$12)/POWER(1+$M231,X$1))</f>
        <v>188045.42364885914</v>
      </c>
      <c r="Y232" s="33">
        <f>IF($M$63=структура!$P$14,"",(Y$18-Y$22-Y$12)/POWER(1+$M231,Y$1))</f>
        <v>-49562.391908252423</v>
      </c>
      <c r="Z232" s="3"/>
      <c r="AA232" s="3"/>
    </row>
    <row r="233" spans="1:27" x14ac:dyDescent="0.25">
      <c r="A233" s="3"/>
      <c r="B233" s="3"/>
      <c r="C233" s="3"/>
      <c r="D233" s="3"/>
      <c r="E233" s="55"/>
      <c r="F233" s="3"/>
      <c r="G233" s="3"/>
      <c r="H233" s="3"/>
      <c r="I233" s="3"/>
      <c r="J233" s="3"/>
      <c r="K233" s="185">
        <f t="shared" ref="K233" si="181">IF(M232&lt;=0,K231,M231)</f>
        <v>8.9477387150749557E-2</v>
      </c>
      <c r="L233" s="185">
        <f t="shared" si="179"/>
        <v>8.9477387160994099E-2</v>
      </c>
      <c r="M233" s="41">
        <f t="shared" ref="M233" si="182">IF(M232="","",IF(M232=0,M231,IF(L233="",M231*2,(K233+L233)/2)))</f>
        <v>8.9477387155871835E-2</v>
      </c>
      <c r="N233" s="3"/>
      <c r="O233" s="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"/>
      <c r="AA233" s="3"/>
    </row>
    <row r="234" spans="1:27" x14ac:dyDescent="0.25">
      <c r="A234" s="3"/>
      <c r="B234" s="3"/>
      <c r="C234" s="3"/>
      <c r="D234" s="3"/>
      <c r="E234" s="55"/>
      <c r="F234" s="3"/>
      <c r="G234" s="3"/>
      <c r="H234" s="3"/>
      <c r="I234" s="3"/>
      <c r="J234" s="3"/>
      <c r="K234" s="185"/>
      <c r="L234" s="185"/>
      <c r="M234" s="63">
        <f>IF($M$63=структура!$P$14,"",SUM(O234:Z234)-$M$29)</f>
        <v>3.9847145671956241E-6</v>
      </c>
      <c r="N234" s="3"/>
      <c r="O234" s="3"/>
      <c r="P234" s="33">
        <f>IF($M$63=структура!$P$14,"",(P$18-P$22-P$12)/POWER(1+$M233,P$1))</f>
        <v>-64250.989350718017</v>
      </c>
      <c r="Q234" s="33">
        <f>IF($M$63=структура!$P$14,"",(Q$18-Q$22-Q$12)/POWER(1+$M233,Q$1))</f>
        <v>-4.9039237207700766E-11</v>
      </c>
      <c r="R234" s="33">
        <f>IF($M$63=структура!$P$14,"",(R$18-R$22-R$12)/POWER(1+$M233,R$1))</f>
        <v>9.0023414502837598E-11</v>
      </c>
      <c r="S234" s="33">
        <f>IF($M$63=структура!$P$14,"",(S$18-S$22-S$12)/POWER(1+$M233,S$1))</f>
        <v>-8.2629906379101308E-11</v>
      </c>
      <c r="T234" s="33">
        <f>IF($M$63=структура!$P$14,"",(T$18-T$22-T$12)/POWER(1+$M233,T$1))</f>
        <v>-41453.5926431685</v>
      </c>
      <c r="U234" s="33">
        <f>IF($M$63=структура!$P$14,"",(U$18-U$22-U$12)/POWER(1+$M233,U$1))</f>
        <v>-1.3922935626630983E-10</v>
      </c>
      <c r="V234" s="33">
        <f>IF($M$63=структура!$P$14,"",(V$18-V$22-V$12)/POWER(1+$M233,V$1))</f>
        <v>5454.6068097391044</v>
      </c>
      <c r="W234" s="33">
        <f>IF($M$63=структура!$P$14,"",(W$18-W$22-W$12)/POWER(1+$M233,W$1))</f>
        <v>20061.412683310791</v>
      </c>
      <c r="X234" s="33">
        <f>IF($M$63=структура!$P$14,"",(X$18-X$22-X$12)/POWER(1+$M233,X$1))</f>
        <v>188045.42365681619</v>
      </c>
      <c r="Y234" s="33">
        <f>IF($M$63=структура!$P$14,"",(Y$18-Y$22-Y$12)/POWER(1+$M233,Y$1))</f>
        <v>-49562.391910582657</v>
      </c>
      <c r="Z234" s="3"/>
      <c r="AA234" s="3"/>
    </row>
    <row r="235" spans="1:27" x14ac:dyDescent="0.25">
      <c r="A235" s="3"/>
      <c r="B235" s="3"/>
      <c r="C235" s="3"/>
      <c r="D235" s="3"/>
      <c r="E235" s="55"/>
      <c r="F235" s="3"/>
      <c r="G235" s="3"/>
      <c r="H235" s="3"/>
      <c r="I235" s="3"/>
      <c r="J235" s="3"/>
      <c r="K235" s="185">
        <f t="shared" ref="K235" si="183">IF(M234&lt;=0,K233,M233)</f>
        <v>8.9477387155871835E-2</v>
      </c>
      <c r="L235" s="185">
        <f t="shared" si="179"/>
        <v>8.9477387160994099E-2</v>
      </c>
      <c r="M235" s="41">
        <f t="shared" ref="M235" si="184">IF(M234="","",IF(M234=0,M233,IF(L235="",M233*2,(K235+L235)/2)))</f>
        <v>8.9477387158432967E-2</v>
      </c>
      <c r="N235" s="3"/>
      <c r="O235" s="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"/>
      <c r="AA235" s="3"/>
    </row>
    <row r="236" spans="1:27" x14ac:dyDescent="0.25">
      <c r="A236" s="3"/>
      <c r="B236" s="3"/>
      <c r="C236" s="3"/>
      <c r="D236" s="3"/>
      <c r="E236" s="55"/>
      <c r="F236" s="3"/>
      <c r="G236" s="3"/>
      <c r="H236" s="3"/>
      <c r="I236" s="3"/>
      <c r="J236" s="3"/>
      <c r="K236" s="185"/>
      <c r="L236" s="185"/>
      <c r="M236" s="63">
        <f>IF($M$63=структура!$P$14,"",SUM(O236:Z236)-$M$29)</f>
        <v>1.3426688383333385E-6</v>
      </c>
      <c r="N236" s="3"/>
      <c r="O236" s="3"/>
      <c r="P236" s="33">
        <f>IF($M$63=структура!$P$14,"",(P$18-P$22-P$12)/POWER(1+$M235,P$1))</f>
        <v>-64250.989350566982</v>
      </c>
      <c r="Q236" s="33">
        <f>IF($M$63=структура!$P$14,"",(Q$18-Q$22-Q$12)/POWER(1+$M235,Q$1))</f>
        <v>-4.9039237207470209E-11</v>
      </c>
      <c r="R236" s="33">
        <f>IF($M$63=структура!$P$14,"",(R$18-R$22-R$12)/POWER(1+$M235,R$1))</f>
        <v>9.0023414502202737E-11</v>
      </c>
      <c r="S236" s="33">
        <f>IF($M$63=структура!$P$14,"",(S$18-S$22-S$12)/POWER(1+$M235,S$1))</f>
        <v>-8.2629906378324353E-11</v>
      </c>
      <c r="T236" s="33">
        <f>IF($M$63=структура!$P$14,"",(T$18-T$22-T$12)/POWER(1+$M235,T$1))</f>
        <v>-41453.592642681273</v>
      </c>
      <c r="U236" s="33">
        <f>IF($M$63=структура!$P$14,"",(U$18-U$22-U$12)/POWER(1+$M235,U$1))</f>
        <v>-1.392293562643461E-10</v>
      </c>
      <c r="V236" s="33">
        <f>IF($M$63=структура!$P$14,"",(V$18-V$22-V$12)/POWER(1+$M235,V$1))</f>
        <v>5454.6068096493482</v>
      </c>
      <c r="W236" s="33">
        <f>IF($M$63=структура!$P$14,"",(W$18-W$22-W$12)/POWER(1+$M235,W$1))</f>
        <v>20061.412682933522</v>
      </c>
      <c r="X236" s="33">
        <f>IF($M$63=структура!$P$14,"",(X$18-X$22-X$12)/POWER(1+$M235,X$1))</f>
        <v>188045.42365283784</v>
      </c>
      <c r="Y236" s="33">
        <f>IF($M$63=структура!$P$14,"",(Y$18-Y$22-Y$12)/POWER(1+$M235,Y$1))</f>
        <v>-49562.391909417587</v>
      </c>
      <c r="Z236" s="3"/>
      <c r="AA236" s="3"/>
    </row>
    <row r="237" spans="1:27" x14ac:dyDescent="0.25">
      <c r="A237" s="3"/>
      <c r="B237" s="3"/>
      <c r="C237" s="3"/>
      <c r="D237" s="3"/>
      <c r="E237" s="55"/>
      <c r="F237" s="3"/>
      <c r="G237" s="3"/>
      <c r="H237" s="3"/>
      <c r="I237" s="3"/>
      <c r="J237" s="3"/>
      <c r="K237" s="185">
        <f t="shared" ref="K237" si="185">IF(M236&lt;=0,K235,M235)</f>
        <v>8.9477387158432967E-2</v>
      </c>
      <c r="L237" s="185">
        <f t="shared" si="179"/>
        <v>8.9477387160994099E-2</v>
      </c>
      <c r="M237" s="41">
        <f t="shared" ref="M237" si="186">IF(M236="","",IF(M236=0,M235,IF(L237="",M235*2,(K237+L237)/2)))</f>
        <v>8.947738715971354E-2</v>
      </c>
      <c r="N237" s="3"/>
      <c r="O237" s="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"/>
      <c r="AA237" s="3"/>
    </row>
    <row r="238" spans="1:27" x14ac:dyDescent="0.25">
      <c r="A238" s="3"/>
      <c r="B238" s="3"/>
      <c r="C238" s="3"/>
      <c r="D238" s="3"/>
      <c r="E238" s="55"/>
      <c r="F238" s="3"/>
      <c r="G238" s="3"/>
      <c r="H238" s="3"/>
      <c r="I238" s="3"/>
      <c r="J238" s="3"/>
      <c r="K238" s="185"/>
      <c r="L238" s="185"/>
      <c r="M238" s="63">
        <f>IF($M$63=структура!$P$14,"",SUM(O238:Z238)-$M$29)</f>
        <v>2.1413143258541822E-8</v>
      </c>
      <c r="N238" s="3"/>
      <c r="O238" s="3"/>
      <c r="P238" s="33">
        <f>IF($M$63=структура!$P$14,"",(P$18-P$22-P$12)/POWER(1+$M237,P$1))</f>
        <v>-64250.989350491451</v>
      </c>
      <c r="Q238" s="33">
        <f>IF($M$63=структура!$P$14,"",(Q$18-Q$22-Q$12)/POWER(1+$M237,Q$1))</f>
        <v>-4.9039237207354914E-11</v>
      </c>
      <c r="R238" s="33">
        <f>IF($M$63=структура!$P$14,"",(R$18-R$22-R$12)/POWER(1+$M237,R$1))</f>
        <v>9.0023414501885254E-11</v>
      </c>
      <c r="S238" s="33">
        <f>IF($M$63=структура!$P$14,"",(S$18-S$22-S$12)/POWER(1+$M237,S$1))</f>
        <v>-8.2629906377935798E-11</v>
      </c>
      <c r="T238" s="33">
        <f>IF($M$63=структура!$P$14,"",(T$18-T$22-T$12)/POWER(1+$M237,T$1))</f>
        <v>-41453.592642437616</v>
      </c>
      <c r="U238" s="33">
        <f>IF($M$63=структура!$P$14,"",(U$18-U$22-U$12)/POWER(1+$M237,U$1))</f>
        <v>-1.3922935626336405E-10</v>
      </c>
      <c r="V238" s="33">
        <f>IF($M$63=структура!$P$14,"",(V$18-V$22-V$12)/POWER(1+$M237,V$1))</f>
        <v>5454.6068096044628</v>
      </c>
      <c r="W238" s="33">
        <f>IF($M$63=структура!$P$14,"",(W$18-W$22-W$12)/POWER(1+$M237,W$1))</f>
        <v>20061.412682744853</v>
      </c>
      <c r="X238" s="33">
        <f>IF($M$63=структура!$P$14,"",(X$18-X$22-X$12)/POWER(1+$M237,X$1))</f>
        <v>188045.4236508483</v>
      </c>
      <c r="Y238" s="33">
        <f>IF($M$63=структура!$P$14,"",(Y$18-Y$22-Y$12)/POWER(1+$M237,Y$1))</f>
        <v>-49562.391908834943</v>
      </c>
      <c r="Z238" s="3"/>
      <c r="AA238" s="3"/>
    </row>
    <row r="239" spans="1:27" x14ac:dyDescent="0.25">
      <c r="A239" s="3"/>
      <c r="B239" s="3"/>
      <c r="C239" s="3"/>
      <c r="D239" s="3"/>
      <c r="E239" s="55"/>
      <c r="F239" s="3"/>
      <c r="G239" s="3"/>
      <c r="H239" s="3"/>
      <c r="I239" s="3"/>
      <c r="J239" s="3"/>
      <c r="K239" s="185">
        <f t="shared" ref="K239" si="187">IF(M238&lt;=0,K237,M237)</f>
        <v>8.947738715971354E-2</v>
      </c>
      <c r="L239" s="185">
        <f t="shared" si="179"/>
        <v>8.9477387160994099E-2</v>
      </c>
      <c r="M239" s="41">
        <f t="shared" ref="M239" si="188">IF(M238="","",IF(M238=0,M237,IF(L239="",M237*2,(K239+L239)/2)))</f>
        <v>8.9477387160353819E-2</v>
      </c>
      <c r="N239" s="3"/>
      <c r="O239" s="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"/>
      <c r="AA239" s="3"/>
    </row>
    <row r="240" spans="1:27" x14ac:dyDescent="0.25">
      <c r="A240" s="3"/>
      <c r="B240" s="3"/>
      <c r="C240" s="3"/>
      <c r="D240" s="3"/>
      <c r="E240" s="55"/>
      <c r="F240" s="3"/>
      <c r="G240" s="3"/>
      <c r="H240" s="3"/>
      <c r="I240" s="3"/>
      <c r="J240" s="3"/>
      <c r="K240" s="185"/>
      <c r="L240" s="185"/>
      <c r="M240" s="63">
        <f>IF($M$63=структура!$P$14,"",SUM(O240:Z240)-$M$29)</f>
        <v>-6.3901825342327356E-7</v>
      </c>
      <c r="N240" s="3"/>
      <c r="O240" s="3"/>
      <c r="P240" s="33">
        <f>IF($M$63=структура!$P$14,"",(P$18-P$22-P$12)/POWER(1+$M239,P$1))</f>
        <v>-64250.989350453703</v>
      </c>
      <c r="Q240" s="33">
        <f>IF($M$63=структура!$P$14,"",(Q$18-Q$22-Q$12)/POWER(1+$M239,Q$1))</f>
        <v>-4.9039237207297283E-11</v>
      </c>
      <c r="R240" s="33">
        <f>IF($M$63=структура!$P$14,"",(R$18-R$22-R$12)/POWER(1+$M239,R$1))</f>
        <v>9.0023414501726565E-11</v>
      </c>
      <c r="S240" s="33">
        <f>IF($M$63=структура!$P$14,"",(S$18-S$22-S$12)/POWER(1+$M239,S$1))</f>
        <v>-8.2629906377741592E-11</v>
      </c>
      <c r="T240" s="33">
        <f>IF($M$63=структура!$P$14,"",(T$18-T$22-T$12)/POWER(1+$M239,T$1))</f>
        <v>-41453.592642315823</v>
      </c>
      <c r="U240" s="33">
        <f>IF($M$63=структура!$P$14,"",(U$18-U$22-U$12)/POWER(1+$M239,U$1))</f>
        <v>-1.3922935626287323E-10</v>
      </c>
      <c r="V240" s="33">
        <f>IF($M$63=структура!$P$14,"",(V$18-V$22-V$12)/POWER(1+$M239,V$1))</f>
        <v>5454.6068095820283</v>
      </c>
      <c r="W240" s="33">
        <f>IF($M$63=структура!$P$14,"",(W$18-W$22-W$12)/POWER(1+$M239,W$1))</f>
        <v>20061.412682650549</v>
      </c>
      <c r="X240" s="33">
        <f>IF($M$63=структура!$P$14,"",(X$18-X$22-X$12)/POWER(1+$M239,X$1))</f>
        <v>188045.42364985385</v>
      </c>
      <c r="Y240" s="33">
        <f>IF($M$63=структура!$P$14,"",(Y$18-Y$22-Y$12)/POWER(1+$M239,Y$1))</f>
        <v>-49562.391908543723</v>
      </c>
      <c r="Z240" s="3"/>
      <c r="AA240" s="3"/>
    </row>
    <row r="241" spans="1:27" x14ac:dyDescent="0.25">
      <c r="A241" s="3"/>
      <c r="B241" s="3"/>
      <c r="C241" s="3"/>
      <c r="D241" s="3"/>
      <c r="E241" s="55"/>
      <c r="F241" s="3"/>
      <c r="G241" s="3"/>
      <c r="H241" s="3"/>
      <c r="I241" s="3"/>
      <c r="J241" s="3"/>
      <c r="K241" s="185">
        <f t="shared" ref="K241" si="189">IF(M240&lt;=0,K239,M239)</f>
        <v>8.947738715971354E-2</v>
      </c>
      <c r="L241" s="185">
        <f t="shared" si="179"/>
        <v>8.9477387160353819E-2</v>
      </c>
      <c r="M241" s="41">
        <f t="shared" ref="M241" si="190">IF(M240="","",IF(M240=0,M239,IF(L241="",M239*2,(K241+L241)/2)))</f>
        <v>8.9477387160033672E-2</v>
      </c>
      <c r="N241" s="3"/>
      <c r="O241" s="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"/>
      <c r="AA241" s="3"/>
    </row>
    <row r="242" spans="1:27" x14ac:dyDescent="0.25">
      <c r="A242" s="3"/>
      <c r="B242" s="3"/>
      <c r="C242" s="3"/>
      <c r="D242" s="3"/>
      <c r="E242" s="55"/>
      <c r="F242" s="3"/>
      <c r="G242" s="3"/>
      <c r="H242" s="3"/>
      <c r="I242" s="3"/>
      <c r="J242" s="3"/>
      <c r="K242" s="185"/>
      <c r="L242" s="185"/>
      <c r="M242" s="63">
        <f>IF($M$63=структура!$P$14,"",SUM(O242:Z242)-$M$29)</f>
        <v>-3.0873343348503113E-7</v>
      </c>
      <c r="N242" s="3"/>
      <c r="O242" s="3"/>
      <c r="P242" s="33">
        <f>IF($M$63=структура!$P$14,"",(P$18-P$22-P$12)/POWER(1+$M241,P$1))</f>
        <v>-64250.989350472584</v>
      </c>
      <c r="Q242" s="33">
        <f>IF($M$63=структура!$P$14,"",(Q$18-Q$22-Q$12)/POWER(1+$M241,Q$1))</f>
        <v>-4.9039237207326111E-11</v>
      </c>
      <c r="R242" s="33">
        <f>IF($M$63=структура!$P$14,"",(R$18-R$22-R$12)/POWER(1+$M241,R$1))</f>
        <v>9.0023414501805948E-11</v>
      </c>
      <c r="S242" s="33">
        <f>IF($M$63=структура!$P$14,"",(S$18-S$22-S$12)/POWER(1+$M241,S$1))</f>
        <v>-8.2629906377838734E-11</v>
      </c>
      <c r="T242" s="33">
        <f>IF($M$63=структура!$P$14,"",(T$18-T$22-T$12)/POWER(1+$M241,T$1))</f>
        <v>-41453.592642376738</v>
      </c>
      <c r="U242" s="33">
        <f>IF($M$63=структура!$P$14,"",(U$18-U$22-U$12)/POWER(1+$M241,U$1))</f>
        <v>-1.3922935626311872E-10</v>
      </c>
      <c r="V242" s="33">
        <f>IF($M$63=структура!$P$14,"",(V$18-V$22-V$12)/POWER(1+$M241,V$1))</f>
        <v>5454.6068095932496</v>
      </c>
      <c r="W242" s="33">
        <f>IF($M$63=структура!$P$14,"",(W$18-W$22-W$12)/POWER(1+$M241,W$1))</f>
        <v>20061.412682697719</v>
      </c>
      <c r="X242" s="33">
        <f>IF($M$63=структура!$P$14,"",(X$18-X$22-X$12)/POWER(1+$M241,X$1))</f>
        <v>188045.42365035121</v>
      </c>
      <c r="Y242" s="33">
        <f>IF($M$63=структура!$P$14,"",(Y$18-Y$22-Y$12)/POWER(1+$M241,Y$1))</f>
        <v>-49562.391908689387</v>
      </c>
      <c r="Z242" s="3"/>
      <c r="AA242" s="3"/>
    </row>
    <row r="243" spans="1:27" x14ac:dyDescent="0.25">
      <c r="A243" s="3"/>
      <c r="B243" s="3"/>
      <c r="C243" s="3"/>
      <c r="D243" s="3"/>
      <c r="E243" s="55"/>
      <c r="F243" s="3"/>
      <c r="G243" s="3"/>
      <c r="H243" s="3"/>
      <c r="I243" s="3"/>
      <c r="J243" s="3"/>
      <c r="K243" s="185">
        <f t="shared" ref="K243" si="191">IF(M242&lt;=0,K241,M241)</f>
        <v>8.947738715971354E-2</v>
      </c>
      <c r="L243" s="185">
        <f t="shared" si="179"/>
        <v>8.9477387160033672E-2</v>
      </c>
      <c r="M243" s="41">
        <f t="shared" ref="M243" si="192">IF(M242="","",IF(M242=0,M241,IF(L243="",M241*2,(K243+L243)/2)))</f>
        <v>8.9477387159873606E-2</v>
      </c>
      <c r="N243" s="3"/>
      <c r="O243" s="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"/>
      <c r="AA243" s="3"/>
    </row>
    <row r="244" spans="1:27" x14ac:dyDescent="0.25">
      <c r="A244" s="3"/>
      <c r="B244" s="3"/>
      <c r="C244" s="3"/>
      <c r="D244" s="3"/>
      <c r="E244" s="55"/>
      <c r="F244" s="3"/>
      <c r="G244" s="3"/>
      <c r="H244" s="3"/>
      <c r="I244" s="3"/>
      <c r="J244" s="3"/>
      <c r="K244" s="185"/>
      <c r="L244" s="185"/>
      <c r="M244" s="63">
        <f>IF($M$63=структура!$P$14,"",SUM(O244:Z244)-$M$29)</f>
        <v>-1.4351826393976808E-7</v>
      </c>
      <c r="N244" s="3"/>
      <c r="O244" s="3"/>
      <c r="P244" s="33">
        <f>IF($M$63=структура!$P$14,"",(P$18-P$22-P$12)/POWER(1+$M243,P$1))</f>
        <v>-64250.989350482021</v>
      </c>
      <c r="Q244" s="33">
        <f>IF($M$63=структура!$P$14,"",(Q$18-Q$22-Q$12)/POWER(1+$M243,Q$1))</f>
        <v>-4.9039237207340522E-11</v>
      </c>
      <c r="R244" s="33">
        <f>IF($M$63=структура!$P$14,"",(R$18-R$22-R$12)/POWER(1+$M243,R$1))</f>
        <v>9.0023414501845627E-11</v>
      </c>
      <c r="S244" s="33">
        <f>IF($M$63=структура!$P$14,"",(S$18-S$22-S$12)/POWER(1+$M243,S$1))</f>
        <v>-8.2629906377887305E-11</v>
      </c>
      <c r="T244" s="33">
        <f>IF($M$63=структура!$P$14,"",(T$18-T$22-T$12)/POWER(1+$M243,T$1))</f>
        <v>-41453.592642407202</v>
      </c>
      <c r="U244" s="33">
        <f>IF($M$63=структура!$P$14,"",(U$18-U$22-U$12)/POWER(1+$M243,U$1))</f>
        <v>-1.392293562632415E-10</v>
      </c>
      <c r="V244" s="33">
        <f>IF($M$63=структура!$P$14,"",(V$18-V$22-V$12)/POWER(1+$M243,V$1))</f>
        <v>5454.6068095988603</v>
      </c>
      <c r="W244" s="33">
        <f>IF($M$63=структура!$P$14,"",(W$18-W$22-W$12)/POWER(1+$M243,W$1))</f>
        <v>20061.412682721304</v>
      </c>
      <c r="X244" s="33">
        <f>IF($M$63=структура!$P$14,"",(X$18-X$22-X$12)/POWER(1+$M243,X$1))</f>
        <v>188045.42365059996</v>
      </c>
      <c r="Y244" s="33">
        <f>IF($M$63=структура!$P$14,"",(Y$18-Y$22-Y$12)/POWER(1+$M243,Y$1))</f>
        <v>-49562.391908762227</v>
      </c>
      <c r="Z244" s="3"/>
      <c r="AA244" s="3"/>
    </row>
    <row r="245" spans="1:27" x14ac:dyDescent="0.25">
      <c r="A245" s="3"/>
      <c r="B245" s="3"/>
      <c r="C245" s="3"/>
      <c r="D245" s="3"/>
      <c r="E245" s="55"/>
      <c r="F245" s="3"/>
      <c r="G245" s="3"/>
      <c r="H245" s="3"/>
      <c r="I245" s="3"/>
      <c r="J245" s="3"/>
      <c r="K245" s="185">
        <f t="shared" ref="K245" si="193">IF(M244&lt;=0,K243,M243)</f>
        <v>8.947738715971354E-2</v>
      </c>
      <c r="L245" s="185">
        <f t="shared" si="179"/>
        <v>8.9477387159873606E-2</v>
      </c>
      <c r="M245" s="41">
        <f t="shared" ref="M245" si="194">IF(M244="","",IF(M244=0,M243,IF(L245="",M243*2,(K245+L245)/2)))</f>
        <v>8.9477387159793573E-2</v>
      </c>
      <c r="N245" s="3"/>
      <c r="O245" s="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"/>
      <c r="AA245" s="3"/>
    </row>
    <row r="246" spans="1:27" x14ac:dyDescent="0.25">
      <c r="A246" s="3"/>
      <c r="B246" s="3"/>
      <c r="C246" s="3"/>
      <c r="D246" s="3"/>
      <c r="E246" s="55"/>
      <c r="F246" s="3"/>
      <c r="G246" s="3"/>
      <c r="H246" s="3"/>
      <c r="I246" s="3"/>
      <c r="J246" s="3"/>
      <c r="K246" s="185"/>
      <c r="L246" s="185"/>
      <c r="M246" s="63">
        <f>IF($M$63=структура!$P$14,"",SUM(O246:Z246)-$M$29)</f>
        <v>-6.103800842538476E-8</v>
      </c>
      <c r="N246" s="3"/>
      <c r="O246" s="3"/>
      <c r="P246" s="33">
        <f>IF($M$63=структура!$P$14,"",(P$18-P$22-P$12)/POWER(1+$M245,P$1))</f>
        <v>-64250.989350486736</v>
      </c>
      <c r="Q246" s="33">
        <f>IF($M$63=структура!$P$14,"",(Q$18-Q$22-Q$12)/POWER(1+$M245,Q$1))</f>
        <v>-4.9039237207347721E-11</v>
      </c>
      <c r="R246" s="33">
        <f>IF($M$63=структура!$P$14,"",(R$18-R$22-R$12)/POWER(1+$M245,R$1))</f>
        <v>9.0023414501865454E-11</v>
      </c>
      <c r="S246" s="33">
        <f>IF($M$63=структура!$P$14,"",(S$18-S$22-S$12)/POWER(1+$M245,S$1))</f>
        <v>-8.2629906377911564E-11</v>
      </c>
      <c r="T246" s="33">
        <f>IF($M$63=структура!$P$14,"",(T$18-T$22-T$12)/POWER(1+$M245,T$1))</f>
        <v>-41453.592642422416</v>
      </c>
      <c r="U246" s="33">
        <f>IF($M$63=структура!$P$14,"",(U$18-U$22-U$12)/POWER(1+$M245,U$1))</f>
        <v>-1.3922935626330282E-10</v>
      </c>
      <c r="V246" s="33">
        <f>IF($M$63=структура!$P$14,"",(V$18-V$22-V$12)/POWER(1+$M245,V$1))</f>
        <v>5454.6068096016634</v>
      </c>
      <c r="W246" s="33">
        <f>IF($M$63=структура!$P$14,"",(W$18-W$22-W$12)/POWER(1+$M245,W$1))</f>
        <v>20061.412682733084</v>
      </c>
      <c r="X246" s="33">
        <f>IF($M$63=структура!$P$14,"",(X$18-X$22-X$12)/POWER(1+$M245,X$1))</f>
        <v>188045.42365072417</v>
      </c>
      <c r="Y246" s="33">
        <f>IF($M$63=структура!$P$14,"",(Y$18-Y$22-Y$12)/POWER(1+$M245,Y$1))</f>
        <v>-49562.391908798607</v>
      </c>
      <c r="Z246" s="3"/>
      <c r="AA246" s="3"/>
    </row>
    <row r="247" spans="1:27" x14ac:dyDescent="0.25">
      <c r="A247" s="3"/>
      <c r="B247" s="3"/>
      <c r="C247" s="3"/>
      <c r="D247" s="3"/>
      <c r="E247" s="55"/>
      <c r="F247" s="3"/>
      <c r="G247" s="3"/>
      <c r="H247" s="3"/>
      <c r="I247" s="3"/>
      <c r="J247" s="3"/>
      <c r="K247" s="185">
        <f t="shared" ref="K247" si="195">IF(M246&lt;=0,K245,M245)</f>
        <v>8.947738715971354E-2</v>
      </c>
      <c r="L247" s="185">
        <f t="shared" si="179"/>
        <v>8.9477387159793573E-2</v>
      </c>
      <c r="M247" s="41">
        <f t="shared" ref="M247" si="196">IF(M246="","",IF(M246=0,M245,IF(L247="",M245*2,(K247+L247)/2)))</f>
        <v>8.9477387159753563E-2</v>
      </c>
      <c r="N247" s="3"/>
      <c r="O247" s="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"/>
      <c r="AA247" s="3"/>
    </row>
    <row r="248" spans="1:27" x14ac:dyDescent="0.25">
      <c r="A248" s="3"/>
      <c r="B248" s="3"/>
      <c r="C248" s="3"/>
      <c r="D248" s="3"/>
      <c r="E248" s="55"/>
      <c r="F248" s="3"/>
      <c r="G248" s="3"/>
      <c r="H248" s="3"/>
      <c r="I248" s="3"/>
      <c r="J248" s="3"/>
      <c r="K248" s="185"/>
      <c r="L248" s="185"/>
      <c r="M248" s="63">
        <f>IF($M$63=структура!$P$14,"",SUM(O248:Z248)-$M$29)</f>
        <v>-1.9768776837736368E-8</v>
      </c>
      <c r="N248" s="3"/>
      <c r="O248" s="3"/>
      <c r="P248" s="33">
        <f>IF($M$63=структура!$P$14,"",(P$18-P$22-P$12)/POWER(1+$M247,P$1))</f>
        <v>-64250.989350489093</v>
      </c>
      <c r="Q248" s="33">
        <f>IF($M$63=структура!$P$14,"",(Q$18-Q$22-Q$12)/POWER(1+$M247,Q$1))</f>
        <v>-4.9039237207351321E-11</v>
      </c>
      <c r="R248" s="33">
        <f>IF($M$63=структура!$P$14,"",(R$18-R$22-R$12)/POWER(1+$M247,R$1))</f>
        <v>9.0023414501875354E-11</v>
      </c>
      <c r="S248" s="33">
        <f>IF($M$63=структура!$P$14,"",(S$18-S$22-S$12)/POWER(1+$M247,S$1))</f>
        <v>-8.2629906377923688E-11</v>
      </c>
      <c r="T248" s="33">
        <f>IF($M$63=структура!$P$14,"",(T$18-T$22-T$12)/POWER(1+$M247,T$1))</f>
        <v>-41453.59264243002</v>
      </c>
      <c r="U248" s="33">
        <f>IF($M$63=структура!$P$14,"",(U$18-U$22-U$12)/POWER(1+$M247,U$1))</f>
        <v>-1.3922935626333345E-10</v>
      </c>
      <c r="V248" s="33">
        <f>IF($M$63=структура!$P$14,"",(V$18-V$22-V$12)/POWER(1+$M247,V$1))</f>
        <v>5454.6068096030631</v>
      </c>
      <c r="W248" s="33">
        <f>IF($M$63=структура!$P$14,"",(W$18-W$22-W$12)/POWER(1+$M247,W$1))</f>
        <v>20061.412682738974</v>
      </c>
      <c r="X248" s="33">
        <f>IF($M$63=структура!$P$14,"",(X$18-X$22-X$12)/POWER(1+$M247,X$1))</f>
        <v>188045.42365078628</v>
      </c>
      <c r="Y248" s="33">
        <f>IF($M$63=структура!$P$14,"",(Y$18-Y$22-Y$12)/POWER(1+$M247,Y$1))</f>
        <v>-49562.391908816782</v>
      </c>
      <c r="Z248" s="3"/>
      <c r="AA248" s="3"/>
    </row>
    <row r="249" spans="1:27" x14ac:dyDescent="0.25">
      <c r="A249" s="3"/>
      <c r="B249" s="3"/>
      <c r="C249" s="3"/>
      <c r="D249" s="3"/>
      <c r="E249" s="55"/>
      <c r="F249" s="3"/>
      <c r="G249" s="3"/>
      <c r="H249" s="3"/>
      <c r="I249" s="3"/>
      <c r="J249" s="3"/>
      <c r="K249" s="185">
        <f t="shared" ref="K249" si="197">IF(M248&lt;=0,K247,M247)</f>
        <v>8.947738715971354E-2</v>
      </c>
      <c r="L249" s="185">
        <f t="shared" si="179"/>
        <v>8.9477387159753563E-2</v>
      </c>
      <c r="M249" s="41">
        <f t="shared" ref="M249" si="198">IF(M248="","",IF(M248=0,M247,IF(L249="",M247*2,(K249+L249)/2)))</f>
        <v>8.9477387159733551E-2</v>
      </c>
      <c r="N249" s="3"/>
      <c r="O249" s="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"/>
      <c r="AA249" s="3"/>
    </row>
    <row r="250" spans="1:27" x14ac:dyDescent="0.25">
      <c r="A250" s="3"/>
      <c r="B250" s="3"/>
      <c r="C250" s="3"/>
      <c r="D250" s="3"/>
      <c r="E250" s="55"/>
      <c r="F250" s="3"/>
      <c r="G250" s="3"/>
      <c r="H250" s="3"/>
      <c r="I250" s="3"/>
      <c r="J250" s="3"/>
      <c r="K250" s="185"/>
      <c r="L250" s="185"/>
      <c r="M250" s="63">
        <f>IF($M$63=структура!$P$14,"",SUM(O250:Z250)-$M$29)</f>
        <v>8.0763129517436028E-10</v>
      </c>
      <c r="N250" s="3"/>
      <c r="O250" s="3"/>
      <c r="P250" s="33">
        <f>IF($M$63=структура!$P$14,"",(P$18-P$22-P$12)/POWER(1+$M249,P$1))</f>
        <v>-64250.989350490272</v>
      </c>
      <c r="Q250" s="33">
        <f>IF($M$63=структура!$P$14,"",(Q$18-Q$22-Q$12)/POWER(1+$M249,Q$1))</f>
        <v>-4.9039237207353117E-11</v>
      </c>
      <c r="R250" s="33">
        <f>IF($M$63=структура!$P$14,"",(R$18-R$22-R$12)/POWER(1+$M249,R$1))</f>
        <v>9.0023414501880317E-11</v>
      </c>
      <c r="S250" s="33">
        <f>IF($M$63=структура!$P$14,"",(S$18-S$22-S$12)/POWER(1+$M249,S$1))</f>
        <v>-8.2629906377929749E-11</v>
      </c>
      <c r="T250" s="33">
        <f>IF($M$63=структура!$P$14,"",(T$18-T$22-T$12)/POWER(1+$M249,T$1))</f>
        <v>-41453.592642433818</v>
      </c>
      <c r="U250" s="33">
        <f>IF($M$63=структура!$P$14,"",(U$18-U$22-U$12)/POWER(1+$M249,U$1))</f>
        <v>-1.3922935626334875E-10</v>
      </c>
      <c r="V250" s="33">
        <f>IF($M$63=структура!$P$14,"",(V$18-V$22-V$12)/POWER(1+$M249,V$1))</f>
        <v>5454.6068096037634</v>
      </c>
      <c r="W250" s="33">
        <f>IF($M$63=структура!$P$14,"",(W$18-W$22-W$12)/POWER(1+$M249,W$1))</f>
        <v>20061.412682741913</v>
      </c>
      <c r="X250" s="33">
        <f>IF($M$63=структура!$P$14,"",(X$18-X$22-X$12)/POWER(1+$M249,X$1))</f>
        <v>188045.42365081728</v>
      </c>
      <c r="Y250" s="33">
        <f>IF($M$63=структура!$P$14,"",(Y$18-Y$22-Y$12)/POWER(1+$M249,Y$1))</f>
        <v>-49562.391908825863</v>
      </c>
      <c r="Z250" s="3"/>
      <c r="AA250" s="3"/>
    </row>
    <row r="251" spans="1:27" x14ac:dyDescent="0.25">
      <c r="A251" s="3"/>
      <c r="B251" s="3"/>
      <c r="C251" s="3"/>
      <c r="D251" s="3"/>
      <c r="E251" s="55"/>
      <c r="F251" s="3"/>
      <c r="G251" s="3"/>
      <c r="H251" s="3"/>
      <c r="I251" s="3"/>
      <c r="J251" s="3"/>
      <c r="K251" s="185">
        <f t="shared" ref="K251" si="199">IF(M250&lt;=0,K249,M249)</f>
        <v>8.9477387159733551E-2</v>
      </c>
      <c r="L251" s="185">
        <f t="shared" si="179"/>
        <v>8.9477387159753563E-2</v>
      </c>
      <c r="M251" s="41">
        <f t="shared" ref="M251" si="200">IF(M250="","",IF(M250=0,M249,IF(L251="",M249*2,(K251+L251)/2)))</f>
        <v>8.9477387159743557E-2</v>
      </c>
      <c r="N251" s="3"/>
      <c r="O251" s="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"/>
      <c r="AA251" s="3"/>
    </row>
    <row r="252" spans="1:27" x14ac:dyDescent="0.25">
      <c r="A252" s="3"/>
      <c r="B252" s="3"/>
      <c r="C252" s="3"/>
      <c r="D252" s="3"/>
      <c r="E252" s="55"/>
      <c r="F252" s="3"/>
      <c r="G252" s="3"/>
      <c r="H252" s="3"/>
      <c r="I252" s="3"/>
      <c r="J252" s="3"/>
      <c r="K252" s="185"/>
      <c r="L252" s="185"/>
      <c r="M252" s="63">
        <f>IF($M$63=структура!$P$14,"",SUM(O252:Z252)-$M$29)</f>
        <v>-9.4951246865093708E-9</v>
      </c>
      <c r="N252" s="3"/>
      <c r="O252" s="3"/>
      <c r="P252" s="33">
        <f>IF($M$63=структура!$P$14,"",(P$18-P$22-P$12)/POWER(1+$M251,P$1))</f>
        <v>-64250.989350489683</v>
      </c>
      <c r="Q252" s="33">
        <f>IF($M$63=структура!$P$14,"",(Q$18-Q$22-Q$12)/POWER(1+$M251,Q$1))</f>
        <v>-4.9039237207352219E-11</v>
      </c>
      <c r="R252" s="33">
        <f>IF($M$63=структура!$P$14,"",(R$18-R$22-R$12)/POWER(1+$M251,R$1))</f>
        <v>9.0023414501877835E-11</v>
      </c>
      <c r="S252" s="33">
        <f>IF($M$63=структура!$P$14,"",(S$18-S$22-S$12)/POWER(1+$M251,S$1))</f>
        <v>-8.2629906377926712E-11</v>
      </c>
      <c r="T252" s="33">
        <f>IF($M$63=структура!$P$14,"",(T$18-T$22-T$12)/POWER(1+$M251,T$1))</f>
        <v>-41453.592642431911</v>
      </c>
      <c r="U252" s="33">
        <f>IF($M$63=структура!$P$14,"",(U$18-U$22-U$12)/POWER(1+$M251,U$1))</f>
        <v>-1.392293562633411E-10</v>
      </c>
      <c r="V252" s="33">
        <f>IF($M$63=структура!$P$14,"",(V$18-V$22-V$12)/POWER(1+$M251,V$1))</f>
        <v>5454.6068096034141</v>
      </c>
      <c r="W252" s="33">
        <f>IF($M$63=структура!$P$14,"",(W$18-W$22-W$12)/POWER(1+$M251,W$1))</f>
        <v>20061.41268274044</v>
      </c>
      <c r="X252" s="33">
        <f>IF($M$63=структура!$P$14,"",(X$18-X$22-X$12)/POWER(1+$M251,X$1))</f>
        <v>188045.42365080176</v>
      </c>
      <c r="Y252" s="33">
        <f>IF($M$63=структура!$P$14,"",(Y$18-Y$22-Y$12)/POWER(1+$M251,Y$1))</f>
        <v>-49562.391908821322</v>
      </c>
      <c r="Z252" s="3"/>
      <c r="AA252" s="3"/>
    </row>
    <row r="253" spans="1:27" x14ac:dyDescent="0.25">
      <c r="A253" s="3"/>
      <c r="B253" s="3"/>
      <c r="C253" s="3"/>
      <c r="D253" s="3"/>
      <c r="E253" s="55"/>
      <c r="F253" s="3"/>
      <c r="G253" s="3"/>
      <c r="H253" s="3"/>
      <c r="I253" s="3"/>
      <c r="J253" s="3"/>
      <c r="K253" s="185">
        <f t="shared" ref="K253" si="201">IF(M252&lt;=0,K251,M251)</f>
        <v>8.9477387159733551E-2</v>
      </c>
      <c r="L253" s="185">
        <f t="shared" si="179"/>
        <v>8.9477387159743557E-2</v>
      </c>
      <c r="M253" s="41">
        <f t="shared" ref="M253" si="202">IF(M252="","",IF(M252=0,M251,IF(L253="",M251*2,(K253+L253)/2)))</f>
        <v>8.9477387159738547E-2</v>
      </c>
      <c r="N253" s="3"/>
      <c r="O253" s="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"/>
      <c r="AA253" s="3"/>
    </row>
    <row r="254" spans="1:27" x14ac:dyDescent="0.25">
      <c r="A254" s="3"/>
      <c r="B254" s="3"/>
      <c r="C254" s="3"/>
      <c r="D254" s="3"/>
      <c r="E254" s="55"/>
      <c r="F254" s="3"/>
      <c r="G254" s="3"/>
      <c r="H254" s="3"/>
      <c r="I254" s="3"/>
      <c r="J254" s="3"/>
      <c r="K254" s="185"/>
      <c r="L254" s="185"/>
      <c r="M254" s="63">
        <f>IF($M$63=структура!$P$14,"",SUM(O254:Z254)-$M$29)</f>
        <v>-4.2491592466831207E-9</v>
      </c>
      <c r="N254" s="3"/>
      <c r="O254" s="3"/>
      <c r="P254" s="33">
        <f>IF($M$63=структура!$P$14,"",(P$18-P$22-P$12)/POWER(1+$M253,P$1))</f>
        <v>-64250.989350489988</v>
      </c>
      <c r="Q254" s="33">
        <f>IF($M$63=структура!$P$14,"",(Q$18-Q$22-Q$12)/POWER(1+$M253,Q$1))</f>
        <v>-4.9039237207352678E-11</v>
      </c>
      <c r="R254" s="33">
        <f>IF($M$63=структура!$P$14,"",(R$18-R$22-R$12)/POWER(1+$M253,R$1))</f>
        <v>9.0023414501879089E-11</v>
      </c>
      <c r="S254" s="33">
        <f>IF($M$63=структура!$P$14,"",(S$18-S$22-S$12)/POWER(1+$M253,S$1))</f>
        <v>-8.2629906377928263E-11</v>
      </c>
      <c r="T254" s="33">
        <f>IF($M$63=структура!$P$14,"",(T$18-T$22-T$12)/POWER(1+$M253,T$1))</f>
        <v>-41453.592642432886</v>
      </c>
      <c r="U254" s="33">
        <f>IF($M$63=структура!$P$14,"",(U$18-U$22-U$12)/POWER(1+$M253,U$1))</f>
        <v>-1.39229356263345E-10</v>
      </c>
      <c r="V254" s="33">
        <f>IF($M$63=структура!$P$14,"",(V$18-V$22-V$12)/POWER(1+$M253,V$1))</f>
        <v>5454.6068096035915</v>
      </c>
      <c r="W254" s="33">
        <f>IF($M$63=структура!$P$14,"",(W$18-W$22-W$12)/POWER(1+$M253,W$1))</f>
        <v>20061.412682741193</v>
      </c>
      <c r="X254" s="33">
        <f>IF($M$63=структура!$P$14,"",(X$18-X$22-X$12)/POWER(1+$M253,X$1))</f>
        <v>188045.42365080968</v>
      </c>
      <c r="Y254" s="33">
        <f>IF($M$63=структура!$P$14,"",(Y$18-Y$22-Y$12)/POWER(1+$M253,Y$1))</f>
        <v>-49562.391908823643</v>
      </c>
      <c r="Z254" s="3"/>
      <c r="AA254" s="3"/>
    </row>
    <row r="255" spans="1:27" x14ac:dyDescent="0.25">
      <c r="A255" s="3"/>
      <c r="B255" s="3"/>
      <c r="C255" s="3"/>
      <c r="D255" s="3"/>
      <c r="E255" s="55"/>
      <c r="F255" s="3"/>
      <c r="G255" s="3"/>
      <c r="H255" s="3"/>
      <c r="I255" s="3"/>
      <c r="J255" s="3"/>
      <c r="K255" s="185">
        <f t="shared" ref="K255" si="203">IF(M254&lt;=0,K253,M253)</f>
        <v>8.9477387159733551E-2</v>
      </c>
      <c r="L255" s="185">
        <f t="shared" si="179"/>
        <v>8.9477387159738547E-2</v>
      </c>
      <c r="M255" s="41">
        <f t="shared" ref="M255" si="204">IF(M254="","",IF(M254=0,M253,IF(L255="",M253*2,(K255+L255)/2)))</f>
        <v>8.9477387159736049E-2</v>
      </c>
      <c r="N255" s="3"/>
      <c r="O255" s="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"/>
      <c r="AA255" s="3"/>
    </row>
    <row r="256" spans="1:27" x14ac:dyDescent="0.25">
      <c r="A256" s="3"/>
      <c r="B256" s="3"/>
      <c r="C256" s="3"/>
      <c r="D256" s="3"/>
      <c r="E256" s="55"/>
      <c r="F256" s="3"/>
      <c r="G256" s="3"/>
      <c r="H256" s="3"/>
      <c r="I256" s="3"/>
      <c r="J256" s="3"/>
      <c r="K256" s="185"/>
      <c r="L256" s="185"/>
      <c r="M256" s="63">
        <f>IF($M$63=структура!$P$14,"",SUM(O256:Z256)-$M$29)</f>
        <v>-1.7316779121756554E-9</v>
      </c>
      <c r="N256" s="3"/>
      <c r="O256" s="3"/>
      <c r="P256" s="33">
        <f>IF($M$63=структура!$P$14,"",(P$18-P$22-P$12)/POWER(1+$M255,P$1))</f>
        <v>-64250.989350490127</v>
      </c>
      <c r="Q256" s="33">
        <f>IF($M$63=структура!$P$14,"",(Q$18-Q$22-Q$12)/POWER(1+$M255,Q$1))</f>
        <v>-4.9039237207352897E-11</v>
      </c>
      <c r="R256" s="33">
        <f>IF($M$63=структура!$P$14,"",(R$18-R$22-R$12)/POWER(1+$M255,R$1))</f>
        <v>9.002341450187971E-11</v>
      </c>
      <c r="S256" s="33">
        <f>IF($M$63=структура!$P$14,"",(S$18-S$22-S$12)/POWER(1+$M255,S$1))</f>
        <v>-8.2629906377929E-11</v>
      </c>
      <c r="T256" s="33">
        <f>IF($M$63=структура!$P$14,"",(T$18-T$22-T$12)/POWER(1+$M255,T$1))</f>
        <v>-41453.592642433352</v>
      </c>
      <c r="U256" s="33">
        <f>IF($M$63=структура!$P$14,"",(U$18-U$22-U$12)/POWER(1+$M255,U$1))</f>
        <v>-1.3922935626334689E-10</v>
      </c>
      <c r="V256" s="33">
        <f>IF($M$63=структура!$P$14,"",(V$18-V$22-V$12)/POWER(1+$M255,V$1))</f>
        <v>5454.6068096036779</v>
      </c>
      <c r="W256" s="33">
        <f>IF($M$63=структура!$P$14,"",(W$18-W$22-W$12)/POWER(1+$M255,W$1))</f>
        <v>20061.412682741553</v>
      </c>
      <c r="X256" s="33">
        <f>IF($M$63=структура!$P$14,"",(X$18-X$22-X$12)/POWER(1+$M255,X$1))</f>
        <v>188045.42365081346</v>
      </c>
      <c r="Y256" s="33">
        <f>IF($M$63=структура!$P$14,"",(Y$18-Y$22-Y$12)/POWER(1+$M255,Y$1))</f>
        <v>-49562.391908824749</v>
      </c>
      <c r="Z256" s="3"/>
      <c r="AA256" s="3"/>
    </row>
    <row r="257" spans="1:27" x14ac:dyDescent="0.25">
      <c r="A257" s="3"/>
      <c r="B257" s="3"/>
      <c r="C257" s="3"/>
      <c r="D257" s="3"/>
      <c r="E257" s="55"/>
      <c r="F257" s="3"/>
      <c r="G257" s="3"/>
      <c r="H257" s="3"/>
      <c r="I257" s="3"/>
      <c r="J257" s="3"/>
      <c r="K257" s="185">
        <f t="shared" ref="K257" si="205">IF(M256&lt;=0,K255,M255)</f>
        <v>8.9477387159733551E-2</v>
      </c>
      <c r="L257" s="185">
        <f t="shared" si="179"/>
        <v>8.9477387159736049E-2</v>
      </c>
      <c r="M257" s="41">
        <f t="shared" ref="M257" si="206">IF(M256="","",IF(M256=0,M255,IF(L257="",M255*2,(K257+L257)/2)))</f>
        <v>8.94773871597348E-2</v>
      </c>
      <c r="N257" s="3"/>
      <c r="O257" s="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"/>
      <c r="AA257" s="3"/>
    </row>
    <row r="258" spans="1:27" x14ac:dyDescent="0.25">
      <c r="A258" s="3"/>
      <c r="B258" s="3"/>
      <c r="C258" s="3"/>
      <c r="D258" s="3"/>
      <c r="E258" s="55"/>
      <c r="F258" s="3"/>
      <c r="G258" s="3"/>
      <c r="H258" s="3"/>
      <c r="I258" s="3"/>
      <c r="J258" s="3"/>
      <c r="K258" s="185"/>
      <c r="L258" s="185"/>
      <c r="M258" s="63">
        <f>IF($M$63=структура!$P$14,"",SUM(O258:Z258)-$M$29)</f>
        <v>-3.7834979593753815E-10</v>
      </c>
      <c r="N258" s="3"/>
      <c r="O258" s="3"/>
      <c r="P258" s="33">
        <f>IF($M$63=структура!$P$14,"",(P$18-P$22-P$12)/POWER(1+$M257,P$1))</f>
        <v>-64250.989350490207</v>
      </c>
      <c r="Q258" s="33">
        <f>IF($M$63=структура!$P$14,"",(Q$18-Q$22-Q$12)/POWER(1+$M257,Q$1))</f>
        <v>-4.9039237207353014E-11</v>
      </c>
      <c r="R258" s="33">
        <f>IF($M$63=структура!$P$14,"",(R$18-R$22-R$12)/POWER(1+$M257,R$1))</f>
        <v>9.0023414501880033E-11</v>
      </c>
      <c r="S258" s="33">
        <f>IF($M$63=структура!$P$14,"",(S$18-S$22-S$12)/POWER(1+$M257,S$1))</f>
        <v>-8.2629906377929413E-11</v>
      </c>
      <c r="T258" s="33">
        <f>IF($M$63=структура!$P$14,"",(T$18-T$22-T$12)/POWER(1+$M257,T$1))</f>
        <v>-41453.592642433607</v>
      </c>
      <c r="U258" s="33">
        <f>IF($M$63=структура!$P$14,"",(U$18-U$22-U$12)/POWER(1+$M257,U$1))</f>
        <v>-1.392293562633479E-10</v>
      </c>
      <c r="V258" s="33">
        <f>IF($M$63=структура!$P$14,"",(V$18-V$22-V$12)/POWER(1+$M257,V$1))</f>
        <v>5454.6068096037243</v>
      </c>
      <c r="W258" s="33">
        <f>IF($M$63=структура!$P$14,"",(W$18-W$22-W$12)/POWER(1+$M257,W$1))</f>
        <v>20061.412682741749</v>
      </c>
      <c r="X258" s="33">
        <f>IF($M$63=структура!$P$14,"",(X$18-X$22-X$12)/POWER(1+$M257,X$1))</f>
        <v>188045.42365081553</v>
      </c>
      <c r="Y258" s="33">
        <f>IF($M$63=структура!$P$14,"",(Y$18-Y$22-Y$12)/POWER(1+$M257,Y$1))</f>
        <v>-49562.391908825361</v>
      </c>
      <c r="Z258" s="3"/>
      <c r="AA258" s="3"/>
    </row>
    <row r="259" spans="1:27" x14ac:dyDescent="0.25">
      <c r="A259" s="3"/>
      <c r="B259" s="3"/>
      <c r="C259" s="3"/>
      <c r="D259" s="3"/>
      <c r="E259" s="55"/>
      <c r="F259" s="3"/>
      <c r="G259" s="3"/>
      <c r="H259" s="3"/>
      <c r="I259" s="3"/>
      <c r="J259" s="3"/>
      <c r="K259" s="185">
        <f t="shared" ref="K259" si="207">IF(M258&lt;=0,K257,M257)</f>
        <v>8.9477387159733551E-2</v>
      </c>
      <c r="L259" s="185">
        <f t="shared" si="179"/>
        <v>8.94773871597348E-2</v>
      </c>
      <c r="M259" s="41">
        <f t="shared" ref="M259" si="208">IF(M258="","",IF(M258=0,M257,IF(L259="",M257*2,(K259+L259)/2)))</f>
        <v>8.9477387159734176E-2</v>
      </c>
      <c r="N259" s="3"/>
      <c r="O259" s="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"/>
      <c r="AA259" s="3"/>
    </row>
    <row r="260" spans="1:27" x14ac:dyDescent="0.25">
      <c r="A260" s="3"/>
      <c r="B260" s="3"/>
      <c r="C260" s="3"/>
      <c r="D260" s="3"/>
      <c r="E260" s="55"/>
      <c r="F260" s="3"/>
      <c r="G260" s="3"/>
      <c r="H260" s="3"/>
      <c r="I260" s="3"/>
      <c r="J260" s="3"/>
      <c r="K260" s="185"/>
      <c r="L260" s="185"/>
      <c r="M260" s="63">
        <f>IF($M$63=структура!$P$14,"",SUM(O260:Z260)-$M$29)</f>
        <v>3.7107383832335472E-10</v>
      </c>
      <c r="N260" s="3"/>
      <c r="O260" s="3"/>
      <c r="P260" s="33">
        <f>IF($M$63=структура!$P$14,"",(P$18-P$22-P$12)/POWER(1+$M259,P$1))</f>
        <v>-64250.98935049025</v>
      </c>
      <c r="Q260" s="33">
        <f>IF($M$63=структура!$P$14,"",(Q$18-Q$22-Q$12)/POWER(1+$M259,Q$1))</f>
        <v>-4.9039237207353078E-11</v>
      </c>
      <c r="R260" s="33">
        <f>IF($M$63=структура!$P$14,"",(R$18-R$22-R$12)/POWER(1+$M259,R$1))</f>
        <v>9.0023414501880201E-11</v>
      </c>
      <c r="S260" s="33">
        <f>IF($M$63=структура!$P$14,"",(S$18-S$22-S$12)/POWER(1+$M259,S$1))</f>
        <v>-8.262990637792962E-11</v>
      </c>
      <c r="T260" s="33">
        <f>IF($M$63=структура!$P$14,"",(T$18-T$22-T$12)/POWER(1+$M259,T$1))</f>
        <v>-41453.592642433738</v>
      </c>
      <c r="U260" s="33">
        <f>IF($M$63=структура!$P$14,"",(U$18-U$22-U$12)/POWER(1+$M259,U$1))</f>
        <v>-1.3922935626334844E-10</v>
      </c>
      <c r="V260" s="33">
        <f>IF($M$63=структура!$P$14,"",(V$18-V$22-V$12)/POWER(1+$M259,V$1))</f>
        <v>5454.6068096037488</v>
      </c>
      <c r="W260" s="33">
        <f>IF($M$63=структура!$P$14,"",(W$18-W$22-W$12)/POWER(1+$M259,W$1))</f>
        <v>20061.412682741851</v>
      </c>
      <c r="X260" s="33">
        <f>IF($M$63=структура!$P$14,"",(X$18-X$22-X$12)/POWER(1+$M259,X$1))</f>
        <v>188045.42365081664</v>
      </c>
      <c r="Y260" s="33">
        <f>IF($M$63=структура!$P$14,"",(Y$18-Y$22-Y$12)/POWER(1+$M259,Y$1))</f>
        <v>-49562.391908825673</v>
      </c>
      <c r="Z260" s="3"/>
      <c r="AA260" s="3"/>
    </row>
  </sheetData>
  <conditionalFormatting sqref="P8:Y9">
    <cfRule type="containsBlanks" dxfId="441" priority="46">
      <formula>LEN(TRIM(P8))=0</formula>
    </cfRule>
  </conditionalFormatting>
  <conditionalFormatting sqref="M29 P29:Y29">
    <cfRule type="cellIs" dxfId="440" priority="43" operator="lessThan">
      <formula>0</formula>
    </cfRule>
  </conditionalFormatting>
  <conditionalFormatting sqref="M29">
    <cfRule type="cellIs" dxfId="439" priority="41" operator="lessThan">
      <formula>0</formula>
    </cfRule>
    <cfRule type="cellIs" dxfId="438" priority="42" operator="greaterThanOrEqual">
      <formula>0</formula>
    </cfRule>
  </conditionalFormatting>
  <conditionalFormatting sqref="M45">
    <cfRule type="cellIs" dxfId="437" priority="40" operator="greaterThan">
      <formula>0</formula>
    </cfRule>
  </conditionalFormatting>
  <conditionalFormatting sqref="P31:Y31">
    <cfRule type="cellIs" dxfId="436" priority="39" operator="lessThan">
      <formula>0</formula>
    </cfRule>
  </conditionalFormatting>
  <conditionalFormatting sqref="M47 P47:Y47">
    <cfRule type="cellIs" dxfId="435" priority="36" operator="lessThan">
      <formula>0</formula>
    </cfRule>
  </conditionalFormatting>
  <conditionalFormatting sqref="M47">
    <cfRule type="cellIs" dxfId="434" priority="34" operator="lessThan">
      <formula>0</formula>
    </cfRule>
    <cfRule type="cellIs" dxfId="433" priority="35" operator="greaterThan">
      <formula>0</formula>
    </cfRule>
  </conditionalFormatting>
  <conditionalFormatting sqref="P49:Y49">
    <cfRule type="cellIs" dxfId="432" priority="33" operator="lessThan">
      <formula>0</formula>
    </cfRule>
  </conditionalFormatting>
  <conditionalFormatting sqref="M33 P33:Y33">
    <cfRule type="cellIs" dxfId="431" priority="29" operator="lessThan">
      <formula>0</formula>
    </cfRule>
  </conditionalFormatting>
  <conditionalFormatting sqref="M33">
    <cfRule type="cellIs" dxfId="430" priority="27" operator="lessThan">
      <formula>0</formula>
    </cfRule>
    <cfRule type="cellIs" dxfId="429" priority="28" operator="greaterThanOrEqual">
      <formula>0</formula>
    </cfRule>
  </conditionalFormatting>
  <conditionalFormatting sqref="M51 P51:Y51">
    <cfRule type="cellIs" dxfId="428" priority="26" operator="lessThan">
      <formula>0</formula>
    </cfRule>
  </conditionalFormatting>
  <conditionalFormatting sqref="M51">
    <cfRule type="cellIs" dxfId="427" priority="24" operator="lessThan">
      <formula>0</formula>
    </cfRule>
    <cfRule type="cellIs" dxfId="426" priority="25" operator="greaterThanOrEqual">
      <formula>0</formula>
    </cfRule>
  </conditionalFormatting>
  <conditionalFormatting sqref="M53 P53:Y53">
    <cfRule type="cellIs" dxfId="425" priority="23" operator="lessThan">
      <formula>0</formula>
    </cfRule>
  </conditionalFormatting>
  <conditionalFormatting sqref="M53">
    <cfRule type="cellIs" dxfId="424" priority="21" operator="lessThan">
      <formula>0</formula>
    </cfRule>
    <cfRule type="cellIs" dxfId="423" priority="22" operator="greaterThanOrEqual">
      <formula>0</formula>
    </cfRule>
  </conditionalFormatting>
  <conditionalFormatting sqref="M26">
    <cfRule type="cellIs" dxfId="422" priority="20" operator="lessThan">
      <formula>0</formula>
    </cfRule>
  </conditionalFormatting>
  <conditionalFormatting sqref="M26">
    <cfRule type="cellIs" dxfId="421" priority="18" operator="lessThan">
      <formula>0</formula>
    </cfRule>
    <cfRule type="cellIs" dxfId="420" priority="19" operator="greaterThan">
      <formula>0</formula>
    </cfRule>
  </conditionalFormatting>
  <conditionalFormatting sqref="Q56:Y56">
    <cfRule type="cellIs" dxfId="419" priority="16" operator="lessThan">
      <formula>0</formula>
    </cfRule>
  </conditionalFormatting>
  <conditionalFormatting sqref="P58:Y58">
    <cfRule type="cellIs" dxfId="418" priority="13" operator="lessThan">
      <formula>0</formula>
    </cfRule>
  </conditionalFormatting>
  <conditionalFormatting sqref="P56">
    <cfRule type="cellIs" dxfId="417" priority="10" operator="lessThan">
      <formula>0</formula>
    </cfRule>
  </conditionalFormatting>
  <conditionalFormatting sqref="M56">
    <cfRule type="cellIs" dxfId="416" priority="5" operator="lessThan">
      <formula>$M$58</formula>
    </cfRule>
    <cfRule type="cellIs" dxfId="415" priority="6" operator="greaterThanOrEqual">
      <formula>$M$58</formula>
    </cfRule>
    <cfRule type="cellIs" dxfId="414" priority="8" operator="equal">
      <formula>"нет"</formula>
    </cfRule>
  </conditionalFormatting>
  <conditionalFormatting sqref="M62">
    <cfRule type="cellIs" dxfId="413" priority="7" operator="lessThan">
      <formula>0</formula>
    </cfRule>
  </conditionalFormatting>
  <conditionalFormatting sqref="M31">
    <cfRule type="cellIs" dxfId="412" priority="3" operator="lessThan">
      <formula>1</formula>
    </cfRule>
    <cfRule type="cellIs" dxfId="411" priority="4" operator="greaterThanOrEqual">
      <formula>1</formula>
    </cfRule>
  </conditionalFormatting>
  <conditionalFormatting sqref="M49">
    <cfRule type="cellIs" dxfId="410" priority="1" operator="lessThan">
      <formula>1</formula>
    </cfRule>
    <cfRule type="cellIs" dxfId="409" priority="2" operator="greaterThanOrEqual">
      <formula>1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1A24E886-1025-4036-9BD4-F674E69B5D05}">
            <xm:f>структура!$P$14</xm:f>
            <x14:dxf>
              <font>
                <b/>
                <i val="0"/>
                <color rgb="FFFF0000"/>
              </font>
            </x14:dxf>
          </x14:cfRule>
          <xm:sqref>M63</xm:sqref>
        </x14:conditionalFormatting>
        <x14:conditionalFormatting xmlns:xm="http://schemas.microsoft.com/office/excel/2006/main">
          <x14:cfRule type="cellIs" priority="9" operator="equal" id="{C6DA6DAC-9179-4954-858C-88B049771AA6}">
            <xm:f>структура!$P$14</xm:f>
            <x14:dxf>
              <font>
                <b/>
                <i val="0"/>
                <color rgb="FFFF0000"/>
              </font>
            </x14:dxf>
          </x14:cfRule>
          <xm:sqref>M163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9"/>
  <sheetViews>
    <sheetView showGridLines="0" zoomScaleNormal="10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5" sqref="B5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оглавление!$F$29</f>
        <v>МАРЖИНАЛЬНЫЙ P&amp;L (отчет о прибылях и убытках)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2021г.</v>
      </c>
      <c r="Q7" s="25" t="str">
        <f>IF(условия!U7="","",условия!U7)</f>
        <v>2022г.</v>
      </c>
      <c r="R7" s="25" t="str">
        <f>IF(условия!V7="","",условия!V7)</f>
        <v>2023г.</v>
      </c>
      <c r="S7" s="25" t="str">
        <f>IF(условия!W7="","",условия!W7)</f>
        <v>2024г.</v>
      </c>
      <c r="T7" s="25" t="str">
        <f>IF(условия!X7="","",условия!X7)</f>
        <v>2025г.</v>
      </c>
      <c r="U7" s="25" t="str">
        <f>IF(условия!Y7="","",условия!Y7)</f>
        <v>2026г.</v>
      </c>
      <c r="V7" s="25" t="str">
        <f>IF(условия!Z7="","",условия!Z7)</f>
        <v>2027г.</v>
      </c>
      <c r="W7" s="25" t="str">
        <f>IF(условия!AA7="","",условия!AA7)</f>
        <v>2028г.</v>
      </c>
      <c r="X7" s="25" t="str">
        <f>IF(условия!AB7="","",условия!AB7)</f>
        <v>2029г.</v>
      </c>
      <c r="Y7" s="25" t="str">
        <f>IF(условия!AC7="","",условия!AC7)</f>
        <v>2030г.</v>
      </c>
      <c r="Z7" s="3"/>
      <c r="AA7" s="3"/>
    </row>
    <row r="8" spans="1:27" x14ac:dyDescent="0.25">
      <c r="A8" s="3"/>
      <c r="B8" s="3"/>
      <c r="C8" s="171">
        <f>BS!$C$8</f>
        <v>4.6566128730773926E-10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>
        <f>IF(условия!T8="","",условия!T8)</f>
        <v>44197</v>
      </c>
      <c r="Q8" s="24">
        <f>IF(условия!U8="","",условия!U8)</f>
        <v>44562</v>
      </c>
      <c r="R8" s="24">
        <f>IF(условия!V8="","",условия!V8)</f>
        <v>44927</v>
      </c>
      <c r="S8" s="24">
        <f>IF(условия!W8="","",условия!W8)</f>
        <v>45292</v>
      </c>
      <c r="T8" s="24">
        <f>IF(условия!X8="","",условия!X8)</f>
        <v>45658</v>
      </c>
      <c r="U8" s="24">
        <f>IF(условия!Y8="","",условия!Y8)</f>
        <v>46023</v>
      </c>
      <c r="V8" s="24">
        <f>IF(условия!Z8="","",условия!Z8)</f>
        <v>46388</v>
      </c>
      <c r="W8" s="24">
        <f>IF(условия!AA8="","",условия!AA8)</f>
        <v>46753</v>
      </c>
      <c r="X8" s="24">
        <f>IF(условия!AB8="","",условия!AB8)</f>
        <v>47119</v>
      </c>
      <c r="Y8" s="24">
        <f>IF(условия!AC8="","",условия!AC8)</f>
        <v>47484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>
        <f>IF(условия!T9="","",условия!T9)</f>
        <v>44561</v>
      </c>
      <c r="Q9" s="61">
        <f>IF(условия!U9="","",условия!U9)</f>
        <v>44926</v>
      </c>
      <c r="R9" s="61">
        <f>IF(условия!V9="","",условия!V9)</f>
        <v>45291</v>
      </c>
      <c r="S9" s="61">
        <f>IF(условия!W9="","",условия!W9)</f>
        <v>45657</v>
      </c>
      <c r="T9" s="61">
        <f>IF(условия!X9="","",условия!X9)</f>
        <v>46022</v>
      </c>
      <c r="U9" s="61">
        <f>IF(условия!Y9="","",условия!Y9)</f>
        <v>46387</v>
      </c>
      <c r="V9" s="61">
        <f>IF(условия!Z9="","",условия!Z9)</f>
        <v>46752</v>
      </c>
      <c r="W9" s="61">
        <f>IF(условия!AA9="","",условия!AA9)</f>
        <v>47118</v>
      </c>
      <c r="X9" s="61">
        <f>IF(условия!AB9="","",условия!AB9)</f>
        <v>47483</v>
      </c>
      <c r="Y9" s="61">
        <f>IF(условия!AC9="","",условия!AC9)</f>
        <v>47848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77" customFormat="1" ht="15" thickBot="1" x14ac:dyDescent="0.35">
      <c r="A12" s="75"/>
      <c r="B12" s="75"/>
      <c r="C12" s="75"/>
      <c r="D12" s="75"/>
      <c r="E12" s="76"/>
      <c r="F12" s="78" t="str">
        <f>KPI!$F$124</f>
        <v>Выручка</v>
      </c>
      <c r="G12" s="75"/>
      <c r="H12" s="75"/>
      <c r="I12" s="75"/>
      <c r="J12" s="78" t="str">
        <f>IF($F12="","",INDEX(KPI!$I$11:$I$275,SUMIFS(KPI!$E$11:$E$275,KPI!$F$11:$F$275,$F12)))</f>
        <v>тыс.руб.</v>
      </c>
      <c r="K12" s="75"/>
      <c r="L12" s="75"/>
      <c r="M12" s="79">
        <f>SUM(O12:Z12)</f>
        <v>9647163.0100776479</v>
      </c>
      <c r="N12" s="75"/>
      <c r="O12" s="75"/>
      <c r="P12" s="79">
        <f>SUMIFS(monthly!$45:$45,monthly!$9:$9,"&gt;="&amp;P$8,monthly!$9:$9,"&lt;="&amp;P$9)/(1+условия!T$182)</f>
        <v>10896.422500000001</v>
      </c>
      <c r="Q12" s="79">
        <f>SUMIFS(monthly!$45:$45,monthly!$9:$9,"&gt;="&amp;Q$8,monthly!$9:$9,"&lt;="&amp;Q$9)/(1+условия!U$182)</f>
        <v>62713.461887999998</v>
      </c>
      <c r="R12" s="79">
        <f>SUMIFS(monthly!$45:$45,monthly!$9:$9,"&gt;="&amp;R$8,monthly!$9:$9,"&lt;="&amp;R$9)/(1+условия!V$182)</f>
        <v>183592.47871999998</v>
      </c>
      <c r="S12" s="79">
        <f>SUMIFS(monthly!$45:$45,monthly!$9:$9,"&gt;="&amp;S$8,monthly!$9:$9,"&lt;="&amp;S$9)/(1+условия!W$182)</f>
        <v>384970.4788160001</v>
      </c>
      <c r="T12" s="79">
        <f>SUMIFS(monthly!$45:$45,monthly!$9:$9,"&gt;="&amp;T$8,monthly!$9:$9,"&lt;="&amp;T$9)/(1+условия!X$182)</f>
        <v>774340.62024704006</v>
      </c>
      <c r="U12" s="79">
        <f>SUMIFS(monthly!$45:$45,monthly!$9:$9,"&gt;="&amp;U$8,monthly!$9:$9,"&lt;="&amp;U$9)/(1+условия!Y$182)</f>
        <v>1103049.1765708802</v>
      </c>
      <c r="V12" s="79">
        <f>SUMIFS(monthly!$45:$45,monthly!$9:$9,"&gt;="&amp;V$8,monthly!$9:$9,"&lt;="&amp;V$9)/(1+условия!Z$182)</f>
        <v>1465147.7309323007</v>
      </c>
      <c r="W12" s="79">
        <f>SUMIFS(monthly!$45:$45,monthly!$9:$9,"&gt;="&amp;W$8,monthly!$9:$9,"&lt;="&amp;W$9)/(1+условия!AA$182)</f>
        <v>1726562.044592985</v>
      </c>
      <c r="X12" s="79">
        <f>SUMIFS(monthly!$45:$45,monthly!$9:$9,"&gt;="&amp;X$8,monthly!$9:$9,"&lt;="&amp;X$9)/(1+условия!AB$182)</f>
        <v>1933755.9051896865</v>
      </c>
      <c r="Y12" s="79">
        <f>SUMIFS(monthly!$45:$45,monthly!$9:$9,"&gt;="&amp;Y$8,monthly!$9:$9,"&lt;="&amp;Y$9)/(1+условия!AC$182)</f>
        <v>2002134.6906207558</v>
      </c>
      <c r="Z12" s="75"/>
      <c r="AA12" s="75"/>
    </row>
    <row r="13" spans="1:27" s="93" customFormat="1" ht="7.2" thickTop="1" x14ac:dyDescent="0.15">
      <c r="A13" s="90"/>
      <c r="B13" s="90"/>
      <c r="C13" s="90"/>
      <c r="D13" s="90"/>
      <c r="E13" s="91"/>
      <c r="F13" s="94"/>
      <c r="G13" s="90"/>
      <c r="H13" s="90"/>
      <c r="I13" s="90"/>
      <c r="J13" s="94"/>
      <c r="K13" s="90"/>
      <c r="L13" s="90"/>
      <c r="M13" s="95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KPI!$F$125</f>
        <v>Себестоимость</v>
      </c>
      <c r="G14" s="3"/>
      <c r="H14" s="3"/>
      <c r="I14" s="3"/>
      <c r="J14" s="81" t="str">
        <f>IF($F14="","",INDEX(KPI!$I$11:$I$275,SUMIFS(KPI!$E$11:$E$275,KPI!$F$11:$F$275,$F14)))</f>
        <v>тыс.руб.</v>
      </c>
      <c r="K14" s="3"/>
      <c r="L14" s="3"/>
      <c r="M14" s="82">
        <f>SUM(O14:Z14)</f>
        <v>6887508.4659446795</v>
      </c>
      <c r="N14" s="3"/>
      <c r="O14" s="3"/>
      <c r="P14" s="82">
        <f>SUMIFS(monthly!$49:$49,monthly!$9:$9,"&gt;="&amp;P$8,monthly!$9:$9,"&lt;="&amp;P$9)/(1+условия!T$182)</f>
        <v>9204.9691629232184</v>
      </c>
      <c r="Q14" s="82">
        <f>SUMIFS(monthly!$49:$49,monthly!$9:$9,"&gt;="&amp;Q$8,monthly!$9:$9,"&lt;="&amp;Q$9)/(1+условия!U$182)</f>
        <v>49255.902716490331</v>
      </c>
      <c r="R14" s="82">
        <f>SUMIFS(monthly!$49:$49,monthly!$9:$9,"&gt;="&amp;R$8,monthly!$9:$9,"&lt;="&amp;R$9)/(1+условия!V$182)</f>
        <v>137829.52331728951</v>
      </c>
      <c r="S14" s="82">
        <f>SUMIFS(monthly!$49:$49,monthly!$9:$9,"&gt;="&amp;S$8,monthly!$9:$9,"&lt;="&amp;S$9)/(1+условия!W$182)</f>
        <v>278564.35240362718</v>
      </c>
      <c r="T14" s="82">
        <f>SUMIFS(monthly!$49:$49,monthly!$9:$9,"&gt;="&amp;T$8,monthly!$9:$9,"&lt;="&amp;T$9)/(1+условия!X$182)</f>
        <v>558557.84313944622</v>
      </c>
      <c r="U14" s="82">
        <f>SUMIFS(monthly!$49:$49,monthly!$9:$9,"&gt;="&amp;U$8,monthly!$9:$9,"&lt;="&amp;U$9)/(1+условия!Y$182)</f>
        <v>779410.1126108059</v>
      </c>
      <c r="V14" s="82">
        <f>SUMIFS(monthly!$49:$49,monthly!$9:$9,"&gt;="&amp;V$8,monthly!$9:$9,"&lt;="&amp;V$9)/(1+условия!Z$182)</f>
        <v>1034232.5381673254</v>
      </c>
      <c r="W14" s="82">
        <f>SUMIFS(monthly!$49:$49,monthly!$9:$9,"&gt;="&amp;W$8,monthly!$9:$9,"&lt;="&amp;W$9)/(1+условия!AA$182)</f>
        <v>1228379.229037971</v>
      </c>
      <c r="X14" s="82">
        <f>SUMIFS(monthly!$49:$49,monthly!$9:$9,"&gt;="&amp;X$8,monthly!$9:$9,"&lt;="&amp;X$9)/(1+условия!AB$182)</f>
        <v>1379361.635833001</v>
      </c>
      <c r="Y14" s="82">
        <f>SUMIFS(monthly!$49:$49,monthly!$9:$9,"&gt;="&amp;Y$8,monthly!$9:$9,"&lt;="&amp;Y$9)/(1+условия!AC$182)</f>
        <v>1432712.3595558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66" customFormat="1" ht="14.4" thickBot="1" x14ac:dyDescent="0.35">
      <c r="A16" s="65"/>
      <c r="B16" s="65"/>
      <c r="C16" s="65"/>
      <c r="D16" s="65"/>
      <c r="E16" s="72"/>
      <c r="F16" s="83" t="str">
        <f>KPI!$F$126</f>
        <v>Валовая прибыль</v>
      </c>
      <c r="G16" s="65"/>
      <c r="H16" s="65"/>
      <c r="I16" s="65"/>
      <c r="J16" s="83" t="str">
        <f>IF($F16="","",INDEX(KPI!$I$11:$I$275,SUMIFS(KPI!$E$11:$E$275,KPI!$F$11:$F$275,$F16)))</f>
        <v>тыс.руб.</v>
      </c>
      <c r="K16" s="65"/>
      <c r="L16" s="65"/>
      <c r="M16" s="84">
        <f>SUM(O16:Z16)</f>
        <v>2759654.5441329684</v>
      </c>
      <c r="N16" s="65"/>
      <c r="O16" s="65"/>
      <c r="P16" s="84">
        <f>P12-P14</f>
        <v>1691.4533370767822</v>
      </c>
      <c r="Q16" s="84">
        <f t="shared" ref="Q16:Y16" si="1">Q12-Q14</f>
        <v>13457.559171509667</v>
      </c>
      <c r="R16" s="84">
        <f t="shared" si="1"/>
        <v>45762.955402710475</v>
      </c>
      <c r="S16" s="84">
        <f t="shared" si="1"/>
        <v>106406.12641237292</v>
      </c>
      <c r="T16" s="84">
        <f t="shared" si="1"/>
        <v>215782.77710759384</v>
      </c>
      <c r="U16" s="84">
        <f t="shared" si="1"/>
        <v>323639.06396007433</v>
      </c>
      <c r="V16" s="84">
        <f t="shared" si="1"/>
        <v>430915.19276497525</v>
      </c>
      <c r="W16" s="84">
        <f t="shared" si="1"/>
        <v>498182.81555501395</v>
      </c>
      <c r="X16" s="84">
        <f t="shared" si="1"/>
        <v>554394.26935668546</v>
      </c>
      <c r="Y16" s="84">
        <f t="shared" si="1"/>
        <v>569422.3310649558</v>
      </c>
      <c r="Z16" s="65"/>
      <c r="AA16" s="6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KPI!$F$127</f>
        <v>Переменные расходы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:M19" si="2">SUM(O18:Z18)</f>
        <v>952492.6162211824</v>
      </c>
      <c r="N18" s="65"/>
      <c r="O18" s="65"/>
      <c r="P18" s="88">
        <f>SUMIFS(P$19:P$39,$E$19:$E$39,1)</f>
        <v>1521.691816182102</v>
      </c>
      <c r="Q18" s="88">
        <f t="shared" ref="Q18:Y18" si="3">SUMIFS(Q$19:Q$39,$E$19:$E$39,1)</f>
        <v>8294.7792992362338</v>
      </c>
      <c r="R18" s="88">
        <f t="shared" si="3"/>
        <v>21966.143672143695</v>
      </c>
      <c r="S18" s="88">
        <f t="shared" si="3"/>
        <v>44950.399998049521</v>
      </c>
      <c r="T18" s="88">
        <f t="shared" si="3"/>
        <v>82175.040526951823</v>
      </c>
      <c r="U18" s="88">
        <f t="shared" si="3"/>
        <v>113875.62915978029</v>
      </c>
      <c r="V18" s="88">
        <f t="shared" si="3"/>
        <v>150864.0009252601</v>
      </c>
      <c r="W18" s="88">
        <f t="shared" si="3"/>
        <v>166496.70867847916</v>
      </c>
      <c r="X18" s="88">
        <f t="shared" si="3"/>
        <v>179577.95469818957</v>
      </c>
      <c r="Y18" s="88">
        <f t="shared" si="3"/>
        <v>182770.26744690991</v>
      </c>
      <c r="Z18" s="65"/>
      <c r="AA18" s="65"/>
    </row>
    <row r="19" spans="1:27" x14ac:dyDescent="0.25">
      <c r="A19" s="3"/>
      <c r="B19" s="3"/>
      <c r="C19" s="3"/>
      <c r="D19" s="3"/>
      <c r="E19" s="55">
        <v>1</v>
      </c>
      <c r="F19" s="86" t="str">
        <f>KPI!$F$129</f>
        <v>Переменные производственные расходы</v>
      </c>
      <c r="G19" s="3"/>
      <c r="H19" s="3"/>
      <c r="I19" s="3"/>
      <c r="J19" s="87" t="str">
        <f>IF($F19="","",INDEX(KPI!$I$11:$I$275,SUMIFS(KPI!$E$11:$E$275,KPI!$F$11:$F$275,$F19)))</f>
        <v>тыс.руб.</v>
      </c>
      <c r="K19" s="3"/>
      <c r="L19" s="3"/>
      <c r="M19" s="89">
        <f t="shared" si="2"/>
        <v>356027.72354205057</v>
      </c>
      <c r="N19" s="3"/>
      <c r="O19" s="3"/>
      <c r="P19" s="89">
        <f>SUM(P20:P23)</f>
        <v>483.79383629032264</v>
      </c>
      <c r="Q19" s="89">
        <f t="shared" ref="Q19:Y19" si="4">SUM(Q20:Q23)</f>
        <v>2525.5293816154831</v>
      </c>
      <c r="R19" s="89">
        <f t="shared" si="4"/>
        <v>7278.8504558066234</v>
      </c>
      <c r="S19" s="89">
        <f t="shared" si="4"/>
        <v>14949.557645097297</v>
      </c>
      <c r="T19" s="89">
        <f t="shared" si="4"/>
        <v>30053.211433833905</v>
      </c>
      <c r="U19" s="89">
        <f t="shared" si="4"/>
        <v>40281.300240899436</v>
      </c>
      <c r="V19" s="89">
        <f t="shared" si="4"/>
        <v>54754.81482600914</v>
      </c>
      <c r="W19" s="89">
        <f>SUM(W20:W23)</f>
        <v>61940.431687803539</v>
      </c>
      <c r="X19" s="89">
        <f t="shared" si="4"/>
        <v>72073.987211759901</v>
      </c>
      <c r="Y19" s="89">
        <f t="shared" si="4"/>
        <v>71686.246822934918</v>
      </c>
      <c r="Z19" s="3"/>
      <c r="AA19" s="3"/>
    </row>
    <row r="20" spans="1:27" s="70" customFormat="1" ht="10.199999999999999" x14ac:dyDescent="0.2">
      <c r="A20" s="67"/>
      <c r="B20" s="67"/>
      <c r="C20" s="67"/>
      <c r="D20" s="67"/>
      <c r="E20" s="73"/>
      <c r="F20" s="68" t="str">
        <f>KPI!$F$70</f>
        <v>переменные расходы на ТО производства</v>
      </c>
      <c r="G20" s="67"/>
      <c r="H20" s="67"/>
      <c r="I20" s="67"/>
      <c r="J20" s="67" t="str">
        <f>IF($F20="","",INDEX(KPI!$I$11:$I$275,SUMIFS(KPI!$E$11:$E$275,KPI!$F$11:$F$275,$F20)))</f>
        <v>тыс.руб.</v>
      </c>
      <c r="K20" s="67"/>
      <c r="L20" s="67"/>
      <c r="M20" s="69">
        <f>SUM(O20:Z20)</f>
        <v>38952.704982718882</v>
      </c>
      <c r="N20" s="67"/>
      <c r="O20" s="67"/>
      <c r="P20" s="69">
        <f>SUMIFS(monthly!$79:$79,monthly!$9:$9,"&gt;="&amp;P$8,monthly!$9:$9,"&lt;="&amp;P$9)/(1+условия!T$182)</f>
        <v>52.931491935483876</v>
      </c>
      <c r="Q20" s="69">
        <f>SUMIFS(monthly!$79:$79,monthly!$9:$9,"&gt;="&amp;Q$8,monthly!$9:$9,"&lt;="&amp;Q$9)/(1+условия!U$182)</f>
        <v>276.31612490322573</v>
      </c>
      <c r="R20" s="69">
        <f>SUMIFS(monthly!$79:$79,monthly!$9:$9,"&gt;="&amp;R$8,monthly!$9:$9,"&lt;="&amp;R$9)/(1+условия!V$182)</f>
        <v>796.37313520860209</v>
      </c>
      <c r="S20" s="69">
        <f>SUMIFS(monthly!$79:$79,monthly!$9:$9,"&gt;="&amp;S$8,monthly!$9:$9,"&lt;="&amp;S$9)/(1+условия!W$182)</f>
        <v>1635.6189983695072</v>
      </c>
      <c r="T20" s="69">
        <f>SUMIFS(monthly!$79:$79,monthly!$9:$9,"&gt;="&amp;T$8,monthly!$9:$9,"&lt;="&amp;T$9)/(1+условия!X$182)</f>
        <v>3288.0975310540375</v>
      </c>
      <c r="U20" s="69">
        <f>SUMIFS(monthly!$79:$79,monthly!$9:$9,"&gt;="&amp;U$8,monthly!$9:$9,"&lt;="&amp;U$9)/(1+условия!Y$182)</f>
        <v>4407.1444464879032</v>
      </c>
      <c r="V20" s="69">
        <f>SUMIFS(monthly!$79:$79,monthly!$9:$9,"&gt;="&amp;V$8,monthly!$9:$9,"&lt;="&amp;V$9)/(1+условия!Z$182)</f>
        <v>5990.6799590819628</v>
      </c>
      <c r="W20" s="69">
        <f>SUMIFS(monthly!$79:$79,monthly!$9:$9,"&gt;="&amp;W$8,monthly!$9:$9,"&lt;="&amp;W$9)/(1+условия!AA$182)</f>
        <v>6776.8524822542167</v>
      </c>
      <c r="X20" s="69">
        <f>SUMIFS(monthly!$79:$79,monthly!$9:$9,"&gt;="&amp;X$8,monthly!$9:$9,"&lt;="&amp;X$9)/(1+условия!AB$182)</f>
        <v>7885.5565877199024</v>
      </c>
      <c r="Y20" s="69">
        <f>SUMIFS(monthly!$79:$79,monthly!$9:$9,"&gt;="&amp;Y$8,monthly!$9:$9,"&lt;="&amp;Y$9)/(1+условия!AC$182)</f>
        <v>7843.1342257040387</v>
      </c>
      <c r="Z20" s="67"/>
      <c r="AA20" s="67"/>
    </row>
    <row r="21" spans="1:27" s="70" customFormat="1" ht="10.199999999999999" x14ac:dyDescent="0.2">
      <c r="A21" s="67"/>
      <c r="B21" s="67"/>
      <c r="C21" s="67"/>
      <c r="D21" s="67"/>
      <c r="E21" s="73"/>
      <c r="F21" s="68" t="str">
        <f>KPI!$F$74</f>
        <v>переменные коммунальные расходы производства</v>
      </c>
      <c r="G21" s="67"/>
      <c r="H21" s="67"/>
      <c r="I21" s="67"/>
      <c r="J21" s="67" t="str">
        <f>IF($F21="","",INDEX(KPI!$I$11:$I$275,SUMIFS(KPI!$E$11:$E$275,KPI!$F$11:$F$275,$F21)))</f>
        <v>тыс.руб.</v>
      </c>
      <c r="K21" s="67"/>
      <c r="L21" s="67"/>
      <c r="M21" s="69">
        <f>SUM(O21:Z21)</f>
        <v>311621.63986175106</v>
      </c>
      <c r="N21" s="67"/>
      <c r="O21" s="67"/>
      <c r="P21" s="69">
        <f>SUMIFS(monthly!$83:$83,monthly!$9:$9,"&gt;="&amp;P$8,monthly!$9:$9,"&lt;="&amp;P$9)/(1+условия!T$182)</f>
        <v>423.45193548387101</v>
      </c>
      <c r="Q21" s="69">
        <f>SUMIFS(monthly!$83:$83,monthly!$9:$9,"&gt;="&amp;Q$8,monthly!$9:$9,"&lt;="&amp;Q$9)/(1+условия!U$182)</f>
        <v>2210.5289992258058</v>
      </c>
      <c r="R21" s="69">
        <f>SUMIFS(monthly!$83:$83,monthly!$9:$9,"&gt;="&amp;R$8,monthly!$9:$9,"&lt;="&amp;R$9)/(1+условия!V$182)</f>
        <v>6370.9850816688167</v>
      </c>
      <c r="S21" s="69">
        <f>SUMIFS(monthly!$83:$83,monthly!$9:$9,"&gt;="&amp;S$8,monthly!$9:$9,"&lt;="&amp;S$9)/(1+условия!W$182)</f>
        <v>13084.951986956057</v>
      </c>
      <c r="T21" s="69">
        <f>SUMIFS(monthly!$83:$83,monthly!$9:$9,"&gt;="&amp;T$8,monthly!$9:$9,"&lt;="&amp;T$9)/(1+условия!X$182)</f>
        <v>26304.7802484323</v>
      </c>
      <c r="U21" s="69">
        <f>SUMIFS(monthly!$83:$83,monthly!$9:$9,"&gt;="&amp;U$8,monthly!$9:$9,"&lt;="&amp;U$9)/(1+условия!Y$182)</f>
        <v>35257.155571903226</v>
      </c>
      <c r="V21" s="69">
        <f>SUMIFS(monthly!$83:$83,monthly!$9:$9,"&gt;="&amp;V$8,monthly!$9:$9,"&lt;="&amp;V$9)/(1+условия!Z$182)</f>
        <v>47925.439672655702</v>
      </c>
      <c r="W21" s="69">
        <f>SUMIFS(monthly!$83:$83,monthly!$9:$9,"&gt;="&amp;W$8,monthly!$9:$9,"&lt;="&amp;W$9)/(1+условия!AA$182)</f>
        <v>54214.819858033734</v>
      </c>
      <c r="X21" s="69">
        <f>SUMIFS(monthly!$83:$83,monthly!$9:$9,"&gt;="&amp;X$8,monthly!$9:$9,"&lt;="&amp;X$9)/(1+условия!AB$182)</f>
        <v>63084.452701759219</v>
      </c>
      <c r="Y21" s="69">
        <f>SUMIFS(monthly!$83:$83,monthly!$9:$9,"&gt;="&amp;Y$8,monthly!$9:$9,"&lt;="&amp;Y$9)/(1+условия!AC$182)</f>
        <v>62745.07380563231</v>
      </c>
      <c r="Z21" s="67"/>
      <c r="AA21" s="67"/>
    </row>
    <row r="22" spans="1:27" s="70" customFormat="1" ht="10.199999999999999" x14ac:dyDescent="0.2">
      <c r="A22" s="67"/>
      <c r="B22" s="67"/>
      <c r="C22" s="67"/>
      <c r="D22" s="67"/>
      <c r="E22" s="73"/>
      <c r="F22" s="68" t="str">
        <f>KPI!$F$78</f>
        <v>прочие переменные производственные расходы</v>
      </c>
      <c r="G22" s="67"/>
      <c r="H22" s="67"/>
      <c r="I22" s="67"/>
      <c r="J22" s="67" t="str">
        <f>IF($F22="","",INDEX(KPI!$I$11:$I$275,SUMIFS(KPI!$E$11:$E$275,KPI!$F$11:$F$275,$F22)))</f>
        <v>тыс.руб.</v>
      </c>
      <c r="K22" s="67"/>
      <c r="L22" s="67"/>
      <c r="M22" s="69">
        <f t="shared" ref="M22:M35" si="5">SUM(O22:Z22)</f>
        <v>5453.3786975806433</v>
      </c>
      <c r="N22" s="67"/>
      <c r="O22" s="67"/>
      <c r="P22" s="69">
        <f>SUMIFS(monthly!$87:$87,monthly!$9:$9,"&gt;="&amp;P$8,monthly!$9:$9,"&lt;="&amp;P$9)/(1+условия!T$182)</f>
        <v>7.4104088709677436</v>
      </c>
      <c r="Q22" s="69">
        <f>SUMIFS(monthly!$87:$87,monthly!$9:$9,"&gt;="&amp;Q$8,monthly!$9:$9,"&lt;="&amp;Q$9)/(1+условия!U$182)</f>
        <v>38.684257486451614</v>
      </c>
      <c r="R22" s="69">
        <f>SUMIFS(monthly!$87:$87,monthly!$9:$9,"&gt;="&amp;R$8,monthly!$9:$9,"&lt;="&amp;R$9)/(1+условия!V$182)</f>
        <v>111.49223892920432</v>
      </c>
      <c r="S22" s="69">
        <f>SUMIFS(monthly!$87:$87,monthly!$9:$9,"&gt;="&amp;S$8,monthly!$9:$9,"&lt;="&amp;S$9)/(1+условия!W$182)</f>
        <v>228.98665977173101</v>
      </c>
      <c r="T22" s="69">
        <f>SUMIFS(monthly!$87:$87,monthly!$9:$9,"&gt;="&amp;T$8,monthly!$9:$9,"&lt;="&amp;T$9)/(1+условия!X$182)</f>
        <v>460.3336543475653</v>
      </c>
      <c r="U22" s="69">
        <f>SUMIFS(monthly!$87:$87,monthly!$9:$9,"&gt;="&amp;U$8,monthly!$9:$9,"&lt;="&amp;U$9)/(1+условия!Y$182)</f>
        <v>617.00022250830648</v>
      </c>
      <c r="V22" s="69">
        <f>SUMIFS(monthly!$87:$87,monthly!$9:$9,"&gt;="&amp;V$8,monthly!$9:$9,"&lt;="&amp;V$9)/(1+условия!Z$182)</f>
        <v>838.69519427147475</v>
      </c>
      <c r="W22" s="69">
        <f>SUMIFS(monthly!$87:$87,monthly!$9:$9,"&gt;="&amp;W$8,monthly!$9:$9,"&lt;="&amp;W$9)/(1+условия!AA$182)</f>
        <v>948.75934751559032</v>
      </c>
      <c r="X22" s="69">
        <f>SUMIFS(monthly!$87:$87,monthly!$9:$9,"&gt;="&amp;X$8,monthly!$9:$9,"&lt;="&amp;X$9)/(1+условия!AB$182)</f>
        <v>1103.9779222807863</v>
      </c>
      <c r="Y22" s="69">
        <f>SUMIFS(monthly!$87:$87,monthly!$9:$9,"&gt;="&amp;Y$8,monthly!$9:$9,"&lt;="&amp;Y$9)/(1+условия!AC$182)</f>
        <v>1098.0387915985655</v>
      </c>
      <c r="Z22" s="67"/>
      <c r="AA22" s="67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x14ac:dyDescent="0.25">
      <c r="A24" s="3"/>
      <c r="B24" s="3"/>
      <c r="C24" s="3"/>
      <c r="D24" s="3"/>
      <c r="E24" s="55">
        <v>1</v>
      </c>
      <c r="F24" s="64" t="str">
        <f>KPI!$F$130</f>
        <v>Переменные расходы логистики</v>
      </c>
      <c r="G24" s="3"/>
      <c r="H24" s="3"/>
      <c r="I24" s="3"/>
      <c r="J24" s="3" t="str">
        <f>IF($F24="","",INDEX(KPI!$I$11:$I$275,SUMIFS(KPI!$E$11:$E$275,KPI!$F$11:$F$275,$F24)))</f>
        <v>тыс.руб.</v>
      </c>
      <c r="K24" s="3"/>
      <c r="L24" s="3"/>
      <c r="M24" s="33">
        <f t="shared" si="5"/>
        <v>47642.615276717384</v>
      </c>
      <c r="N24" s="3"/>
      <c r="O24" s="3"/>
      <c r="P24" s="33">
        <f>SUM(P25:P28)</f>
        <v>53.250000000000007</v>
      </c>
      <c r="Q24" s="33">
        <f t="shared" ref="Q24:Y24" si="6">SUM(Q25:Q28)</f>
        <v>302.40000000000003</v>
      </c>
      <c r="R24" s="33">
        <f t="shared" si="6"/>
        <v>878.08000000000015</v>
      </c>
      <c r="S24" s="33">
        <f t="shared" si="6"/>
        <v>1811.0400000000009</v>
      </c>
      <c r="T24" s="33">
        <f t="shared" si="6"/>
        <v>3642.7776000000013</v>
      </c>
      <c r="U24" s="33">
        <f t="shared" si="6"/>
        <v>5108.9955840000021</v>
      </c>
      <c r="V24" s="33">
        <f t="shared" si="6"/>
        <v>7014.5113735007226</v>
      </c>
      <c r="W24" s="33">
        <f t="shared" si="6"/>
        <v>8407.8039091200044</v>
      </c>
      <c r="X24" s="33">
        <f t="shared" si="6"/>
        <v>9819.1138510080054</v>
      </c>
      <c r="Y24" s="33">
        <f t="shared" si="6"/>
        <v>10604.642959088647</v>
      </c>
      <c r="Z24" s="3"/>
      <c r="AA24" s="3"/>
    </row>
    <row r="25" spans="1:27" s="70" customFormat="1" ht="10.199999999999999" x14ac:dyDescent="0.2">
      <c r="A25" s="67"/>
      <c r="B25" s="67"/>
      <c r="C25" s="67"/>
      <c r="D25" s="67"/>
      <c r="E25" s="73"/>
      <c r="F25" s="68" t="str">
        <f>KPI!$F$65</f>
        <v>расходы на аутсорсинг склада СиМ</v>
      </c>
      <c r="G25" s="67"/>
      <c r="H25" s="67"/>
      <c r="I25" s="67"/>
      <c r="J25" s="67" t="str">
        <f>IF($F25="","",INDEX(KPI!$I$11:$I$275,SUMIFS(KPI!$E$11:$E$275,KPI!$F$11:$F$275,$F25)))</f>
        <v>тыс.руб.</v>
      </c>
      <c r="K25" s="67"/>
      <c r="L25" s="67"/>
      <c r="M25" s="69">
        <f t="shared" si="5"/>
        <v>0</v>
      </c>
      <c r="N25" s="67"/>
      <c r="O25" s="67"/>
      <c r="P25" s="69">
        <f>SUMIFS(monthly!$73:$73,monthly!$9:$9,"&gt;="&amp;P$8,monthly!$9:$9,"&lt;="&amp;P$9)/(1+условия!T$182)</f>
        <v>0</v>
      </c>
      <c r="Q25" s="69">
        <f>SUMIFS(monthly!$73:$73,monthly!$9:$9,"&gt;="&amp;Q$8,monthly!$9:$9,"&lt;="&amp;Q$9)/(1+условия!U$182)</f>
        <v>0</v>
      </c>
      <c r="R25" s="69">
        <f>SUMIFS(monthly!$73:$73,monthly!$9:$9,"&gt;="&amp;R$8,monthly!$9:$9,"&lt;="&amp;R$9)/(1+условия!V$182)</f>
        <v>0</v>
      </c>
      <c r="S25" s="69">
        <f>SUMIFS(monthly!$73:$73,monthly!$9:$9,"&gt;="&amp;S$8,monthly!$9:$9,"&lt;="&amp;S$9)/(1+условия!W$182)</f>
        <v>0</v>
      </c>
      <c r="T25" s="69">
        <f>SUMIFS(monthly!$73:$73,monthly!$9:$9,"&gt;="&amp;T$8,monthly!$9:$9,"&lt;="&amp;T$9)/(1+условия!X$182)</f>
        <v>0</v>
      </c>
      <c r="U25" s="69">
        <f>SUMIFS(monthly!$73:$73,monthly!$9:$9,"&gt;="&amp;U$8,monthly!$9:$9,"&lt;="&amp;U$9)/(1+условия!Y$182)</f>
        <v>0</v>
      </c>
      <c r="V25" s="69">
        <f>SUMIFS(monthly!$73:$73,monthly!$9:$9,"&gt;="&amp;V$8,monthly!$9:$9,"&lt;="&amp;V$9)/(1+условия!Z$182)</f>
        <v>0</v>
      </c>
      <c r="W25" s="69">
        <f>SUMIFS(monthly!$73:$73,monthly!$9:$9,"&gt;="&amp;W$8,monthly!$9:$9,"&lt;="&amp;W$9)/(1+условия!AA$182)</f>
        <v>0</v>
      </c>
      <c r="X25" s="69">
        <f>SUMIFS(monthly!$73:$73,monthly!$9:$9,"&gt;="&amp;X$8,monthly!$9:$9,"&lt;="&amp;X$9)/(1+условия!AB$182)</f>
        <v>0</v>
      </c>
      <c r="Y25" s="69">
        <f>SUMIFS(monthly!$73:$73,monthly!$9:$9,"&gt;="&amp;Y$8,monthly!$9:$9,"&lt;="&amp;Y$9)/(1+условия!AC$182)</f>
        <v>0</v>
      </c>
      <c r="Z25" s="67"/>
      <c r="AA25" s="67"/>
    </row>
    <row r="26" spans="1:27" s="70" customFormat="1" ht="10.199999999999999" x14ac:dyDescent="0.2">
      <c r="A26" s="67"/>
      <c r="B26" s="67"/>
      <c r="C26" s="67"/>
      <c r="D26" s="67"/>
      <c r="E26" s="73"/>
      <c r="F26" s="68" t="str">
        <f>KPI!$F$66</f>
        <v>расходы на аутсорсинг склада ГП</v>
      </c>
      <c r="G26" s="67"/>
      <c r="H26" s="67"/>
      <c r="I26" s="67"/>
      <c r="J26" s="67"/>
      <c r="K26" s="67"/>
      <c r="L26" s="67"/>
      <c r="M26" s="69">
        <f t="shared" si="5"/>
        <v>72.287962300718391</v>
      </c>
      <c r="N26" s="67"/>
      <c r="O26" s="67"/>
      <c r="P26" s="69">
        <f>SUMIFS(monthly!$75:$75,monthly!$9:$9,"&gt;="&amp;P$8,monthly!$9:$9,"&lt;="&amp;P$9)/(1+условия!T$182)</f>
        <v>0</v>
      </c>
      <c r="Q26" s="69">
        <f>SUMIFS(monthly!$75:$75,monthly!$9:$9,"&gt;="&amp;Q$8,monthly!$9:$9,"&lt;="&amp;Q$9)/(1+условия!U$182)</f>
        <v>0</v>
      </c>
      <c r="R26" s="69">
        <f>SUMIFS(monthly!$75:$75,monthly!$9:$9,"&gt;="&amp;R$8,monthly!$9:$9,"&lt;="&amp;R$9)/(1+условия!V$182)</f>
        <v>0</v>
      </c>
      <c r="S26" s="69">
        <f>SUMIFS(monthly!$75:$75,monthly!$9:$9,"&gt;="&amp;S$8,monthly!$9:$9,"&lt;="&amp;S$9)/(1+условия!W$182)</f>
        <v>0</v>
      </c>
      <c r="T26" s="69">
        <f>SUMIFS(monthly!$75:$75,monthly!$9:$9,"&gt;="&amp;T$8,monthly!$9:$9,"&lt;="&amp;T$9)/(1+условия!X$182)</f>
        <v>0</v>
      </c>
      <c r="U26" s="69">
        <f>SUMIFS(monthly!$75:$75,monthly!$9:$9,"&gt;="&amp;U$8,monthly!$9:$9,"&lt;="&amp;U$9)/(1+условия!Y$182)</f>
        <v>0</v>
      </c>
      <c r="V26" s="69">
        <f>SUMIFS(monthly!$75:$75,monthly!$9:$9,"&gt;="&amp;V$8,monthly!$9:$9,"&lt;="&amp;V$9)/(1+условия!Z$182)</f>
        <v>72.287962300718391</v>
      </c>
      <c r="W26" s="69">
        <f>SUMIFS(monthly!$75:$75,monthly!$9:$9,"&gt;="&amp;W$8,monthly!$9:$9,"&lt;="&amp;W$9)/(1+условия!AA$182)</f>
        <v>0</v>
      </c>
      <c r="X26" s="69">
        <f>SUMIFS(monthly!$75:$75,monthly!$9:$9,"&gt;="&amp;X$8,monthly!$9:$9,"&lt;="&amp;X$9)/(1+условия!AB$182)</f>
        <v>0</v>
      </c>
      <c r="Y26" s="69">
        <f>SUMIFS(monthly!$75:$75,monthly!$9:$9,"&gt;="&amp;Y$8,monthly!$9:$9,"&lt;="&amp;Y$9)/(1+условия!AC$182)</f>
        <v>0</v>
      </c>
      <c r="Z26" s="67"/>
      <c r="AA26" s="67"/>
    </row>
    <row r="27" spans="1:27" s="70" customFormat="1" ht="10.199999999999999" x14ac:dyDescent="0.2">
      <c r="A27" s="67"/>
      <c r="B27" s="67"/>
      <c r="C27" s="67"/>
      <c r="D27" s="67"/>
      <c r="E27" s="73"/>
      <c r="F27" s="68" t="str">
        <f>KPI!$F$82</f>
        <v>расходы на аутсорсинг исходящей логистики</v>
      </c>
      <c r="G27" s="67"/>
      <c r="H27" s="67"/>
      <c r="I27" s="67"/>
      <c r="J27" s="67" t="str">
        <f>IF($F27="","",INDEX(KPI!$I$11:$I$275,SUMIFS(KPI!$E$11:$E$275,KPI!$F$11:$F$275,$F27)))</f>
        <v>тыс.руб.</v>
      </c>
      <c r="K27" s="67"/>
      <c r="L27" s="67"/>
      <c r="M27" s="69">
        <f t="shared" si="5"/>
        <v>47570.327314416667</v>
      </c>
      <c r="N27" s="67"/>
      <c r="O27" s="67"/>
      <c r="P27" s="69">
        <f>SUMIFS(monthly!$89:$89,monthly!$9:$9,"&gt;="&amp;P$8,monthly!$9:$9,"&lt;="&amp;P$9)/(1+условия!T$182)</f>
        <v>53.250000000000007</v>
      </c>
      <c r="Q27" s="69">
        <f>SUMIFS(monthly!$89:$89,monthly!$9:$9,"&gt;="&amp;Q$8,monthly!$9:$9,"&lt;="&amp;Q$9)/(1+условия!U$182)</f>
        <v>302.40000000000003</v>
      </c>
      <c r="R27" s="69">
        <f>SUMIFS(monthly!$89:$89,monthly!$9:$9,"&gt;="&amp;R$8,monthly!$9:$9,"&lt;="&amp;R$9)/(1+условия!V$182)</f>
        <v>878.08000000000015</v>
      </c>
      <c r="S27" s="69">
        <f>SUMIFS(monthly!$89:$89,monthly!$9:$9,"&gt;="&amp;S$8,monthly!$9:$9,"&lt;="&amp;S$9)/(1+условия!W$182)</f>
        <v>1811.0400000000009</v>
      </c>
      <c r="T27" s="69">
        <f>SUMIFS(monthly!$89:$89,monthly!$9:$9,"&gt;="&amp;T$8,monthly!$9:$9,"&lt;="&amp;T$9)/(1+условия!X$182)</f>
        <v>3642.7776000000013</v>
      </c>
      <c r="U27" s="69">
        <f>SUMIFS(monthly!$89:$89,monthly!$9:$9,"&gt;="&amp;U$8,monthly!$9:$9,"&lt;="&amp;U$9)/(1+условия!Y$182)</f>
        <v>5108.9955840000021</v>
      </c>
      <c r="V27" s="69">
        <f>SUMIFS(monthly!$89:$89,monthly!$9:$9,"&gt;="&amp;V$8,monthly!$9:$9,"&lt;="&amp;V$9)/(1+условия!Z$182)</f>
        <v>6942.2234112000042</v>
      </c>
      <c r="W27" s="69">
        <f>SUMIFS(monthly!$89:$89,monthly!$9:$9,"&gt;="&amp;W$8,monthly!$9:$9,"&lt;="&amp;W$9)/(1+условия!AA$182)</f>
        <v>8407.8039091200044</v>
      </c>
      <c r="X27" s="69">
        <f>SUMIFS(monthly!$89:$89,monthly!$9:$9,"&gt;="&amp;X$8,monthly!$9:$9,"&lt;="&amp;X$9)/(1+условия!AB$182)</f>
        <v>9819.1138510080054</v>
      </c>
      <c r="Y27" s="69">
        <f>SUMIFS(monthly!$89:$89,monthly!$9:$9,"&gt;="&amp;Y$8,monthly!$9:$9,"&lt;="&amp;Y$9)/(1+условия!AC$182)</f>
        <v>10604.642959088647</v>
      </c>
      <c r="Z27" s="67"/>
      <c r="AA27" s="67"/>
    </row>
    <row r="28" spans="1:27" s="93" customFormat="1" ht="6.6" x14ac:dyDescent="0.15">
      <c r="A28" s="90"/>
      <c r="B28" s="90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2"/>
      <c r="N28" s="90"/>
      <c r="O28" s="9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/>
      <c r="AA28" s="90"/>
    </row>
    <row r="29" spans="1:27" x14ac:dyDescent="0.25">
      <c r="A29" s="3"/>
      <c r="B29" s="3"/>
      <c r="C29" s="3"/>
      <c r="D29" s="3"/>
      <c r="E29" s="55">
        <v>1</v>
      </c>
      <c r="F29" s="64" t="str">
        <f>KPI!$F$84</f>
        <v>Маркетинговые расходы</v>
      </c>
      <c r="G29" s="3"/>
      <c r="H29" s="3"/>
      <c r="I29" s="3"/>
      <c r="J29" s="3" t="str">
        <f>IF($F29="","",INDEX(KPI!$I$11:$I$275,SUMIFS(KPI!$E$11:$E$275,KPI!$F$11:$F$275,$F29)))</f>
        <v>тыс.руб.</v>
      </c>
      <c r="K29" s="3"/>
      <c r="L29" s="3"/>
      <c r="M29" s="33">
        <f t="shared" si="5"/>
        <v>248581.0013843801</v>
      </c>
      <c r="N29" s="3"/>
      <c r="O29" s="3"/>
      <c r="P29" s="33">
        <f>SUMIFS(monthly!$91:$91,monthly!$9:$9,"&gt;="&amp;P$8,monthly!$9:$9,"&lt;="&amp;P$9)/(1+условия!T$182)</f>
        <v>544.82112500000005</v>
      </c>
      <c r="Q29" s="33">
        <f>SUMIFS(monthly!$91:$91,monthly!$9:$9,"&gt;="&amp;Q$8,monthly!$9:$9,"&lt;="&amp;Q$9)/(1+условия!U$182)</f>
        <v>3135.6730944000001</v>
      </c>
      <c r="R29" s="33">
        <f>SUMIFS(monthly!$91:$91,monthly!$9:$9,"&gt;="&amp;R$8,monthly!$9:$9,"&lt;="&amp;R$9)/(1+условия!V$182)</f>
        <v>7343.6991487999985</v>
      </c>
      <c r="S29" s="33">
        <f>SUMIFS(monthly!$91:$91,monthly!$9:$9,"&gt;="&amp;S$8,monthly!$9:$9,"&lt;="&amp;S$9)/(1+условия!W$182)</f>
        <v>15398.819152640006</v>
      </c>
      <c r="T29" s="33">
        <f>SUMIFS(monthly!$91:$91,monthly!$9:$9,"&gt;="&amp;T$8,monthly!$9:$9,"&lt;="&amp;T$9)/(1+условия!X$182)</f>
        <v>23230.218607411203</v>
      </c>
      <c r="U29" s="33">
        <f>SUMIFS(monthly!$91:$91,monthly!$9:$9,"&gt;="&amp;U$8,monthly!$9:$9,"&lt;="&amp;U$9)/(1+условия!Y$182)</f>
        <v>33091.475297126402</v>
      </c>
      <c r="V29" s="33">
        <f>SUMIFS(monthly!$91:$91,monthly!$9:$9,"&gt;="&amp;V$8,monthly!$9:$9,"&lt;="&amp;V$9)/(1+условия!Z$182)</f>
        <v>43954.431927969017</v>
      </c>
      <c r="W29" s="33">
        <f>SUMIFS(monthly!$91:$91,monthly!$9:$9,"&gt;="&amp;W$8,monthly!$9:$9,"&lt;="&amp;W$9)/(1+условия!AA$182)</f>
        <v>43164.051114824622</v>
      </c>
      <c r="X29" s="33">
        <f>SUMIFS(monthly!$91:$91,monthly!$9:$9,"&gt;="&amp;X$8,monthly!$9:$9,"&lt;="&amp;X$9)/(1+условия!AB$182)</f>
        <v>38675.118103793728</v>
      </c>
      <c r="Y29" s="33">
        <f>SUMIFS(monthly!$91:$91,monthly!$9:$9,"&gt;="&amp;Y$8,monthly!$9:$9,"&lt;="&amp;Y$9)/(1+условия!AC$182)</f>
        <v>40042.693812415113</v>
      </c>
      <c r="Z29" s="3"/>
      <c r="AA29" s="3"/>
    </row>
    <row r="30" spans="1:27" s="93" customFormat="1" ht="6.6" x14ac:dyDescent="0.15">
      <c r="A30" s="90"/>
      <c r="B30" s="90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2"/>
      <c r="N30" s="90"/>
      <c r="O30" s="9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/>
      <c r="AA30" s="90"/>
    </row>
    <row r="31" spans="1:27" x14ac:dyDescent="0.25">
      <c r="A31" s="3"/>
      <c r="B31" s="3"/>
      <c r="C31" s="3"/>
      <c r="D31" s="3"/>
      <c r="E31" s="55">
        <v>1</v>
      </c>
      <c r="F31" s="64" t="str">
        <f>KPI!$F$131</f>
        <v>Переменный ФОТ</v>
      </c>
      <c r="G31" s="3"/>
      <c r="H31" s="3"/>
      <c r="I31" s="3"/>
      <c r="J31" s="3" t="str">
        <f>IF($F31="","",INDEX(KPI!$I$11:$I$275,SUMIFS(KPI!$E$11:$E$275,KPI!$F$11:$F$275,$F31)))</f>
        <v>тыс.руб.</v>
      </c>
      <c r="K31" s="3"/>
      <c r="L31" s="3"/>
      <c r="M31" s="33">
        <f t="shared" si="5"/>
        <v>230954.82770618031</v>
      </c>
      <c r="N31" s="3"/>
      <c r="O31" s="3"/>
      <c r="P31" s="33">
        <f>SUM(P32:P36)</f>
        <v>338.32834991675338</v>
      </c>
      <c r="Q31" s="33">
        <f t="shared" ref="Q31:Y31" si="7">SUM(Q32:Q36)</f>
        <v>1793.2129409390386</v>
      </c>
      <c r="R31" s="33">
        <f t="shared" si="7"/>
        <v>4973.4723596439017</v>
      </c>
      <c r="S31" s="33">
        <f t="shared" si="7"/>
        <v>9839.2178463940145</v>
      </c>
      <c r="T31" s="33">
        <f t="shared" si="7"/>
        <v>19422.179142851324</v>
      </c>
      <c r="U31" s="33">
        <f t="shared" si="7"/>
        <v>27226.044644426493</v>
      </c>
      <c r="V31" s="33">
        <f t="shared" si="7"/>
        <v>34723.263690600928</v>
      </c>
      <c r="W31" s="33">
        <f t="shared" si="7"/>
        <v>40757.247666716146</v>
      </c>
      <c r="X31" s="33">
        <f t="shared" si="7"/>
        <v>45392.104255098428</v>
      </c>
      <c r="Y31" s="33">
        <f t="shared" si="7"/>
        <v>46489.756809593273</v>
      </c>
      <c r="Z31" s="3"/>
      <c r="AA31" s="3"/>
    </row>
    <row r="32" spans="1:27" s="70" customFormat="1" ht="10.199999999999999" x14ac:dyDescent="0.2">
      <c r="A32" s="67"/>
      <c r="B32" s="67"/>
      <c r="C32" s="67"/>
      <c r="D32" s="67"/>
      <c r="E32" s="73"/>
      <c r="F32" s="68" t="str">
        <f>KPI!$F$92</f>
        <v>переменный ФОТ производственного персонала</v>
      </c>
      <c r="G32" s="67"/>
      <c r="H32" s="67"/>
      <c r="I32" s="67"/>
      <c r="J32" s="67" t="str">
        <f>IF($F32="","",INDEX(KPI!$I$11:$I$275,SUMIFS(KPI!$E$11:$E$275,KPI!$F$11:$F$275,$F32)))</f>
        <v>тыс.руб.</v>
      </c>
      <c r="K32" s="67"/>
      <c r="L32" s="67"/>
      <c r="M32" s="69">
        <f t="shared" si="5"/>
        <v>41234.427741328596</v>
      </c>
      <c r="N32" s="67"/>
      <c r="O32" s="67"/>
      <c r="P32" s="69">
        <f>SUMIFS(monthly!$95:$95,monthly!$9:$9,"&gt;="&amp;P$8,monthly!$9:$9,"&lt;="&amp;P$9)</f>
        <v>68.516129032258064</v>
      </c>
      <c r="Q32" s="69">
        <f>SUMIFS(monthly!$95:$95,monthly!$9:$9,"&gt;="&amp;Q$8,monthly!$9:$9,"&lt;="&amp;Q$9)</f>
        <v>338.9458064516129</v>
      </c>
      <c r="R32" s="69">
        <f>SUMIFS(monthly!$95:$95,monthly!$9:$9,"&gt;="&amp;R$8,monthly!$9:$9,"&lt;="&amp;R$9)</f>
        <v>940.26077419354863</v>
      </c>
      <c r="S32" s="69">
        <f>SUMIFS(monthly!$95:$95,monthly!$9:$9,"&gt;="&amp;S$8,monthly!$9:$9,"&lt;="&amp;S$9)</f>
        <v>1894.6139125695224</v>
      </c>
      <c r="T32" s="69">
        <f>SUMIFS(monthly!$95:$95,monthly!$9:$9,"&gt;="&amp;T$8,monthly!$9:$9,"&lt;="&amp;T$9)</f>
        <v>3697.9885904516141</v>
      </c>
      <c r="U32" s="69">
        <f>SUMIFS(monthly!$95:$95,monthly!$9:$9,"&gt;="&amp;U$8,monthly!$9:$9,"&lt;="&amp;U$9)</f>
        <v>4818.1272588194779</v>
      </c>
      <c r="V32" s="69">
        <f>SUMIFS(monthly!$95:$95,monthly!$9:$9,"&gt;="&amp;V$8,monthly!$9:$9,"&lt;="&amp;V$9)</f>
        <v>6391.7123082526823</v>
      </c>
      <c r="W32" s="69">
        <f>SUMIFS(monthly!$95:$95,monthly!$9:$9,"&gt;="&amp;W$8,monthly!$9:$9,"&lt;="&amp;W$9)</f>
        <v>7084.8667852854642</v>
      </c>
      <c r="X32" s="69">
        <f>SUMIFS(monthly!$95:$95,monthly!$9:$9,"&gt;="&amp;X$8,monthly!$9:$9,"&lt;="&amp;X$9)</f>
        <v>8120.0837042751627</v>
      </c>
      <c r="Y32" s="69">
        <f>SUMIFS(monthly!$95:$95,monthly!$9:$9,"&gt;="&amp;Y$8,monthly!$9:$9,"&lt;="&amp;Y$9)</f>
        <v>7879.3124719972539</v>
      </c>
      <c r="Z32" s="67"/>
      <c r="AA32" s="67"/>
    </row>
    <row r="33" spans="1:27" s="70" customFormat="1" ht="10.199999999999999" x14ac:dyDescent="0.2">
      <c r="A33" s="67"/>
      <c r="B33" s="67"/>
      <c r="C33" s="67"/>
      <c r="D33" s="67"/>
      <c r="E33" s="73"/>
      <c r="F33" s="68" t="str">
        <f>KPI!$F$98</f>
        <v>переменный ФОТ персонала склада СиМ</v>
      </c>
      <c r="G33" s="67"/>
      <c r="H33" s="67"/>
      <c r="I33" s="67"/>
      <c r="J33" s="67" t="str">
        <f>IF($F33="","",INDEX(KPI!$I$11:$I$275,SUMIFS(KPI!$E$11:$E$275,KPI!$F$11:$F$275,$F33)))</f>
        <v>тыс.руб.</v>
      </c>
      <c r="K33" s="67"/>
      <c r="L33" s="67"/>
      <c r="M33" s="69">
        <f t="shared" si="5"/>
        <v>32720.016102591344</v>
      </c>
      <c r="N33" s="67"/>
      <c r="O33" s="67"/>
      <c r="P33" s="69">
        <f>SUMIFS(monthly!$99:$99,monthly!$9:$9,"&gt;="&amp;P$8,monthly!$9:$9,"&lt;="&amp;P$9)</f>
        <v>70.539021852237241</v>
      </c>
      <c r="Q33" s="69">
        <f>SUMIFS(monthly!$99:$99,monthly!$9:$9,"&gt;="&amp;Q$8,monthly!$9:$9,"&lt;="&amp;Q$9)</f>
        <v>362.75978537981274</v>
      </c>
      <c r="R33" s="69">
        <f>SUMIFS(monthly!$99:$99,monthly!$9:$9,"&gt;="&amp;R$8,monthly!$9:$9,"&lt;="&amp;R$9)</f>
        <v>889.84106661680516</v>
      </c>
      <c r="S33" s="69">
        <f>SUMIFS(monthly!$99:$99,monthly!$9:$9,"&gt;="&amp;S$8,monthly!$9:$9,"&lt;="&amp;S$9)</f>
        <v>1430.3442754629671</v>
      </c>
      <c r="T33" s="69">
        <f>SUMIFS(monthly!$99:$99,monthly!$9:$9,"&gt;="&amp;T$8,monthly!$9:$9,"&lt;="&amp;T$9)</f>
        <v>2734.1145189836111</v>
      </c>
      <c r="U33" s="69">
        <f>SUMIFS(monthly!$99:$99,monthly!$9:$9,"&gt;="&amp;U$8,monthly!$9:$9,"&lt;="&amp;U$9)</f>
        <v>4353.2000079369773</v>
      </c>
      <c r="V33" s="69">
        <f>SUMIFS(monthly!$99:$99,monthly!$9:$9,"&gt;="&amp;V$8,monthly!$9:$9,"&lt;="&amp;V$9)</f>
        <v>4358.0663029079615</v>
      </c>
      <c r="W33" s="69">
        <f>SUMIFS(monthly!$99:$99,monthly!$9:$9,"&gt;="&amp;W$8,monthly!$9:$9,"&lt;="&amp;W$9)</f>
        <v>5868.7695610294031</v>
      </c>
      <c r="X33" s="69">
        <f>SUMIFS(monthly!$99:$99,monthly!$9:$9,"&gt;="&amp;X$8,monthly!$9:$9,"&lt;="&amp;X$9)</f>
        <v>5946.8659842718689</v>
      </c>
      <c r="Y33" s="69">
        <f>SUMIFS(monthly!$99:$99,monthly!$9:$9,"&gt;="&amp;Y$8,monthly!$9:$9,"&lt;="&amp;Y$9)</f>
        <v>6705.5155781496987</v>
      </c>
      <c r="Z33" s="67"/>
      <c r="AA33" s="67"/>
    </row>
    <row r="34" spans="1:27" s="70" customFormat="1" ht="10.199999999999999" x14ac:dyDescent="0.2">
      <c r="A34" s="67"/>
      <c r="B34" s="67"/>
      <c r="C34" s="67"/>
      <c r="D34" s="67"/>
      <c r="E34" s="73"/>
      <c r="F34" s="68" t="str">
        <f>KPI!$F$104</f>
        <v>переменный ФОТ персонала склада ГП</v>
      </c>
      <c r="G34" s="67"/>
      <c r="H34" s="67"/>
      <c r="I34" s="67"/>
      <c r="J34" s="67" t="str">
        <f>IF($F34="","",INDEX(KPI!$I$11:$I$275,SUMIFS(KPI!$E$11:$E$275,KPI!$F$11:$F$275,$F34)))</f>
        <v>тыс.руб.</v>
      </c>
      <c r="K34" s="67"/>
      <c r="L34" s="67"/>
      <c r="M34" s="69">
        <f t="shared" si="5"/>
        <v>41234.427741328596</v>
      </c>
      <c r="N34" s="67"/>
      <c r="O34" s="67"/>
      <c r="P34" s="69">
        <f>SUMIFS(monthly!$103:$103,monthly!$9:$9,"&gt;="&amp;P$8,monthly!$9:$9,"&lt;="&amp;P$9)</f>
        <v>68.516129032258064</v>
      </c>
      <c r="Q34" s="69">
        <f>SUMIFS(monthly!$103:$103,monthly!$9:$9,"&gt;="&amp;Q$8,monthly!$9:$9,"&lt;="&amp;Q$9)</f>
        <v>338.9458064516129</v>
      </c>
      <c r="R34" s="69">
        <f>SUMIFS(monthly!$103:$103,monthly!$9:$9,"&gt;="&amp;R$8,monthly!$9:$9,"&lt;="&amp;R$9)</f>
        <v>940.26077419354863</v>
      </c>
      <c r="S34" s="69">
        <f>SUMIFS(monthly!$103:$103,monthly!$9:$9,"&gt;="&amp;S$8,monthly!$9:$9,"&lt;="&amp;S$9)</f>
        <v>1894.6139125695224</v>
      </c>
      <c r="T34" s="69">
        <f>SUMIFS(monthly!$103:$103,monthly!$9:$9,"&gt;="&amp;T$8,monthly!$9:$9,"&lt;="&amp;T$9)</f>
        <v>3697.9885904516141</v>
      </c>
      <c r="U34" s="69">
        <f>SUMIFS(monthly!$103:$103,monthly!$9:$9,"&gt;="&amp;U$8,monthly!$9:$9,"&lt;="&amp;U$9)</f>
        <v>4818.1272588194779</v>
      </c>
      <c r="V34" s="69">
        <f>SUMIFS(monthly!$103:$103,monthly!$9:$9,"&gt;="&amp;V$8,monthly!$9:$9,"&lt;="&amp;V$9)</f>
        <v>6391.7123082526823</v>
      </c>
      <c r="W34" s="69">
        <f>SUMIFS(monthly!$103:$103,monthly!$9:$9,"&gt;="&amp;W$8,monthly!$9:$9,"&lt;="&amp;W$9)</f>
        <v>7084.8667852854642</v>
      </c>
      <c r="X34" s="69">
        <f>SUMIFS(monthly!$103:$103,monthly!$9:$9,"&gt;="&amp;X$8,monthly!$9:$9,"&lt;="&amp;X$9)</f>
        <v>8120.0837042751627</v>
      </c>
      <c r="Y34" s="69">
        <f>SUMIFS(monthly!$103:$103,monthly!$9:$9,"&gt;="&amp;Y$8,monthly!$9:$9,"&lt;="&amp;Y$9)</f>
        <v>7879.3124719972539</v>
      </c>
      <c r="Z34" s="67"/>
      <c r="AA34" s="67"/>
    </row>
    <row r="35" spans="1:27" s="70" customFormat="1" ht="10.199999999999999" x14ac:dyDescent="0.2">
      <c r="A35" s="67"/>
      <c r="B35" s="67"/>
      <c r="C35" s="67"/>
      <c r="D35" s="67"/>
      <c r="E35" s="73"/>
      <c r="F35" s="68" t="str">
        <f>KPI!$F$115</f>
        <v>мотивационный ФОТ</v>
      </c>
      <c r="G35" s="67"/>
      <c r="H35" s="67"/>
      <c r="I35" s="67"/>
      <c r="J35" s="67" t="str">
        <f>IF($F35="","",INDEX(KPI!$I$11:$I$275,SUMIFS(KPI!$E$11:$E$275,KPI!$F$11:$F$275,$F35)))</f>
        <v>тыс.руб.</v>
      </c>
      <c r="K35" s="67"/>
      <c r="L35" s="67"/>
      <c r="M35" s="69">
        <f t="shared" si="5"/>
        <v>115765.95612093178</v>
      </c>
      <c r="N35" s="67"/>
      <c r="O35" s="67"/>
      <c r="P35" s="69">
        <f>SUMIFS(monthly!$111:$111,monthly!$9:$9,"&gt;="&amp;P$8,monthly!$9:$9,"&lt;="&amp;P$9)</f>
        <v>130.75707</v>
      </c>
      <c r="Q35" s="69">
        <f>SUMIFS(monthly!$111:$111,monthly!$9:$9,"&gt;="&amp;Q$8,monthly!$9:$9,"&lt;="&amp;Q$9)</f>
        <v>752.56154265599992</v>
      </c>
      <c r="R35" s="69">
        <f>SUMIFS(monthly!$111:$111,monthly!$9:$9,"&gt;="&amp;R$8,monthly!$9:$9,"&lt;="&amp;R$9)</f>
        <v>2203.1097446399995</v>
      </c>
      <c r="S35" s="69">
        <f>SUMIFS(monthly!$111:$111,monthly!$9:$9,"&gt;="&amp;S$8,monthly!$9:$9,"&lt;="&amp;S$9)</f>
        <v>4619.6457457920014</v>
      </c>
      <c r="T35" s="69">
        <f>SUMIFS(monthly!$111:$111,monthly!$9:$9,"&gt;="&amp;T$8,monthly!$9:$9,"&lt;="&amp;T$9)</f>
        <v>9292.0874429644828</v>
      </c>
      <c r="U35" s="69">
        <f>SUMIFS(monthly!$111:$111,monthly!$9:$9,"&gt;="&amp;U$8,monthly!$9:$9,"&lt;="&amp;U$9)</f>
        <v>13236.59011885056</v>
      </c>
      <c r="V35" s="69">
        <f>SUMIFS(monthly!$111:$111,monthly!$9:$9,"&gt;="&amp;V$8,monthly!$9:$9,"&lt;="&amp;V$9)</f>
        <v>17581.772771187607</v>
      </c>
      <c r="W35" s="69">
        <f>SUMIFS(monthly!$111:$111,monthly!$9:$9,"&gt;="&amp;W$8,monthly!$9:$9,"&lt;="&amp;W$9)</f>
        <v>20718.744535115817</v>
      </c>
      <c r="X35" s="69">
        <f>SUMIFS(monthly!$111:$111,monthly!$9:$9,"&gt;="&amp;X$8,monthly!$9:$9,"&lt;="&amp;X$9)</f>
        <v>23205.070862276236</v>
      </c>
      <c r="Y35" s="69">
        <f>SUMIFS(monthly!$111:$111,monthly!$9:$9,"&gt;="&amp;Y$8,monthly!$9:$9,"&lt;="&amp;Y$9)</f>
        <v>24025.616287449066</v>
      </c>
      <c r="Z35" s="67"/>
      <c r="AA35" s="67"/>
    </row>
    <row r="36" spans="1:27" s="93" customFormat="1" ht="6.6" x14ac:dyDescent="0.15">
      <c r="A36" s="90"/>
      <c r="B36" s="90"/>
      <c r="C36" s="90"/>
      <c r="D36" s="90"/>
      <c r="E36" s="91"/>
      <c r="F36" s="98"/>
      <c r="G36" s="90"/>
      <c r="H36" s="90"/>
      <c r="I36" s="90"/>
      <c r="J36" s="90"/>
      <c r="K36" s="90"/>
      <c r="L36" s="90"/>
      <c r="M36" s="92"/>
      <c r="N36" s="90"/>
      <c r="O36" s="90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0"/>
      <c r="AA36" s="90"/>
    </row>
    <row r="37" spans="1:27" x14ac:dyDescent="0.25">
      <c r="A37" s="3"/>
      <c r="B37" s="3"/>
      <c r="C37" s="3"/>
      <c r="D37" s="3"/>
      <c r="E37" s="55">
        <v>1</v>
      </c>
      <c r="F37" s="64" t="str">
        <f>KPI!$F$118</f>
        <v>Отчисления в соц. фонды</v>
      </c>
      <c r="G37" s="3"/>
      <c r="H37" s="3"/>
      <c r="I37" s="3"/>
      <c r="J37" s="3" t="str">
        <f>IF($F37="","",INDEX(KPI!$I$11:$I$275,SUMIFS(KPI!$E$11:$E$275,KPI!$F$11:$F$275,$F37)))</f>
        <v>тыс.руб.</v>
      </c>
      <c r="K37" s="3"/>
      <c r="L37" s="3"/>
      <c r="M37" s="33">
        <f t="shared" ref="M37" si="8">SUM(O37:Z37)</f>
        <v>69286.448311854081</v>
      </c>
      <c r="N37" s="3"/>
      <c r="O37" s="3"/>
      <c r="P37" s="33">
        <f>P31*условия!$Q$176</f>
        <v>101.49850497502601</v>
      </c>
      <c r="Q37" s="33">
        <f>Q31*условия!$Q$176</f>
        <v>537.96388228171156</v>
      </c>
      <c r="R37" s="33">
        <f>R31*условия!$Q$176</f>
        <v>1492.0417078931705</v>
      </c>
      <c r="S37" s="33">
        <f>S31*условия!$Q$176</f>
        <v>2951.7653539182043</v>
      </c>
      <c r="T37" s="33">
        <f>T31*условия!$Q$176</f>
        <v>5826.6537428553975</v>
      </c>
      <c r="U37" s="33">
        <f>U31*условия!$Q$176</f>
        <v>8167.8133933279478</v>
      </c>
      <c r="V37" s="33">
        <f>V31*условия!$Q$176</f>
        <v>10416.979107180277</v>
      </c>
      <c r="W37" s="33">
        <f>W31*условия!$Q$176</f>
        <v>12227.174300014844</v>
      </c>
      <c r="X37" s="33">
        <f>X31*условия!$Q$176</f>
        <v>13617.631276529528</v>
      </c>
      <c r="Y37" s="33">
        <f>Y31*условия!$Q$176</f>
        <v>13946.927042877982</v>
      </c>
      <c r="Z37" s="3"/>
      <c r="AA37" s="3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101" customFormat="1" ht="6.6" x14ac:dyDescent="0.15">
      <c r="A39" s="99"/>
      <c r="B39" s="99"/>
      <c r="C39" s="99"/>
      <c r="D39" s="99"/>
      <c r="E39" s="91"/>
      <c r="F39" s="99"/>
      <c r="G39" s="99"/>
      <c r="H39" s="99"/>
      <c r="I39" s="99"/>
      <c r="J39" s="99"/>
      <c r="K39" s="99"/>
      <c r="L39" s="99"/>
      <c r="M39" s="100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99"/>
      <c r="AA39" s="99"/>
    </row>
    <row r="40" spans="1:27" s="66" customFormat="1" ht="14.4" thickBot="1" x14ac:dyDescent="0.35">
      <c r="A40" s="65"/>
      <c r="B40" s="65"/>
      <c r="C40" s="65"/>
      <c r="D40" s="65"/>
      <c r="E40" s="72"/>
      <c r="F40" s="83" t="str">
        <f>KPI!$F$134</f>
        <v>Маржинальная прибыль</v>
      </c>
      <c r="G40" s="65"/>
      <c r="H40" s="65"/>
      <c r="I40" s="65"/>
      <c r="J40" s="83" t="str">
        <f>IF($F40="","",INDEX(KPI!$I$11:$I$275,SUMIFS(KPI!$E$11:$E$275,KPI!$F$11:$F$275,$F40)))</f>
        <v>тыс.руб.</v>
      </c>
      <c r="K40" s="65"/>
      <c r="L40" s="65"/>
      <c r="M40" s="84">
        <f>SUM(O40:Z40)</f>
        <v>1807161.9279117859</v>
      </c>
      <c r="N40" s="65"/>
      <c r="O40" s="65"/>
      <c r="P40" s="84">
        <f>P16-P18</f>
        <v>169.76152089468019</v>
      </c>
      <c r="Q40" s="84">
        <f t="shared" ref="Q40:Y40" si="9">Q16-Q18</f>
        <v>5162.7798722734333</v>
      </c>
      <c r="R40" s="84">
        <f t="shared" si="9"/>
        <v>23796.81173056678</v>
      </c>
      <c r="S40" s="84">
        <f t="shared" si="9"/>
        <v>61455.726414323399</v>
      </c>
      <c r="T40" s="84">
        <f t="shared" si="9"/>
        <v>133607.736580642</v>
      </c>
      <c r="U40" s="84">
        <f t="shared" si="9"/>
        <v>209763.43480029405</v>
      </c>
      <c r="V40" s="84">
        <f t="shared" si="9"/>
        <v>280051.19183971512</v>
      </c>
      <c r="W40" s="84">
        <f t="shared" si="9"/>
        <v>331686.10687653476</v>
      </c>
      <c r="X40" s="84">
        <f t="shared" si="9"/>
        <v>374816.31465849589</v>
      </c>
      <c r="Y40" s="84">
        <f t="shared" si="9"/>
        <v>386652.06361804588</v>
      </c>
      <c r="Z40" s="65"/>
      <c r="AA40" s="65"/>
    </row>
    <row r="41" spans="1:27" s="93" customFormat="1" ht="7.2" thickTop="1" x14ac:dyDescent="0.15">
      <c r="A41" s="90"/>
      <c r="B41" s="90"/>
      <c r="C41" s="90"/>
      <c r="D41" s="90"/>
      <c r="E41" s="91"/>
      <c r="F41" s="94"/>
      <c r="G41" s="90"/>
      <c r="H41" s="90"/>
      <c r="I41" s="90"/>
      <c r="J41" s="94"/>
      <c r="K41" s="90"/>
      <c r="L41" s="90"/>
      <c r="M41" s="95"/>
      <c r="N41" s="90"/>
      <c r="O41" s="90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0"/>
      <c r="AA41" s="90"/>
    </row>
    <row r="42" spans="1:27" s="66" customFormat="1" ht="13.8" x14ac:dyDescent="0.3">
      <c r="A42" s="65"/>
      <c r="B42" s="65"/>
      <c r="C42" s="65"/>
      <c r="D42" s="65"/>
      <c r="E42" s="72"/>
      <c r="F42" s="85" t="str">
        <f>KPI!$F$128</f>
        <v>Постоянные расходы</v>
      </c>
      <c r="G42" s="65"/>
      <c r="H42" s="65"/>
      <c r="I42" s="65"/>
      <c r="J42" s="85" t="str">
        <f>IF($F42="","",INDEX(KPI!$I$11:$I$275,SUMIFS(KPI!$E$11:$E$275,KPI!$F$11:$F$275,$F42)))</f>
        <v>тыс.руб.</v>
      </c>
      <c r="K42" s="65"/>
      <c r="L42" s="65"/>
      <c r="M42" s="88">
        <f t="shared" ref="M42" si="10">SUM(O42:Z42)</f>
        <v>836125.63484165957</v>
      </c>
      <c r="N42" s="65"/>
      <c r="O42" s="65"/>
      <c r="P42" s="88">
        <f>SUMIFS(P$43:P$62,$E$43:$E$62,1)</f>
        <v>28115.604166666664</v>
      </c>
      <c r="Q42" s="88">
        <f t="shared" ref="Q42:Y42" si="11">SUMIFS(Q$43:Q$62,$E$43:$E$62,1)</f>
        <v>51911.258333333339</v>
      </c>
      <c r="R42" s="88">
        <f t="shared" si="11"/>
        <v>55105.955666666669</v>
      </c>
      <c r="S42" s="88">
        <f t="shared" si="11"/>
        <v>60475.933800000006</v>
      </c>
      <c r="T42" s="88">
        <f t="shared" si="11"/>
        <v>71235.813359300286</v>
      </c>
      <c r="U42" s="88">
        <f t="shared" si="11"/>
        <v>95383.669749576409</v>
      </c>
      <c r="V42" s="88">
        <f>SUMIFS(V$43:V$62,$E$43:$E$62,1)</f>
        <v>97266.3228673134</v>
      </c>
      <c r="W42" s="88">
        <f t="shared" si="11"/>
        <v>105708.92192898317</v>
      </c>
      <c r="X42" s="88">
        <f t="shared" si="11"/>
        <v>135328.25826316685</v>
      </c>
      <c r="Y42" s="88">
        <f t="shared" si="11"/>
        <v>135593.89670665286</v>
      </c>
      <c r="Z42" s="65"/>
      <c r="AA42" s="65"/>
    </row>
    <row r="43" spans="1:27" x14ac:dyDescent="0.25">
      <c r="A43" s="3"/>
      <c r="B43" s="3"/>
      <c r="C43" s="3"/>
      <c r="D43" s="3"/>
      <c r="E43" s="55">
        <v>1</v>
      </c>
      <c r="F43" s="86" t="str">
        <f>KPI!$F$132</f>
        <v>Постоянные производственные расходы</v>
      </c>
      <c r="G43" s="3"/>
      <c r="H43" s="3"/>
      <c r="I43" s="3"/>
      <c r="J43" s="87" t="str">
        <f>IF($F43="","",INDEX(KPI!$I$11:$I$275,SUMIFS(KPI!$E$11:$E$275,KPI!$F$11:$F$275,$F43)))</f>
        <v>тыс.руб.</v>
      </c>
      <c r="K43" s="3"/>
      <c r="L43" s="3"/>
      <c r="M43" s="89">
        <f t="shared" ref="M43" si="12">SUM(O43:Z43)</f>
        <v>146462.99241738807</v>
      </c>
      <c r="N43" s="3"/>
      <c r="O43" s="3"/>
      <c r="P43" s="89">
        <f>SUM(P44:P47)</f>
        <v>6457.5</v>
      </c>
      <c r="Q43" s="89">
        <f t="shared" ref="Q43:Y43" si="13">SUM(Q44:Q47)</f>
        <v>8610</v>
      </c>
      <c r="R43" s="89">
        <f t="shared" si="13"/>
        <v>8610</v>
      </c>
      <c r="S43" s="89">
        <f t="shared" si="13"/>
        <v>8610</v>
      </c>
      <c r="T43" s="89">
        <f t="shared" si="13"/>
        <v>11218.778070220002</v>
      </c>
      <c r="U43" s="89">
        <f t="shared" si="13"/>
        <v>16436.334210660003</v>
      </c>
      <c r="V43" s="89">
        <f t="shared" si="13"/>
        <v>16436.334210660003</v>
      </c>
      <c r="W43" s="89">
        <f t="shared" si="13"/>
        <v>18744.672354423117</v>
      </c>
      <c r="X43" s="89">
        <f t="shared" si="13"/>
        <v>25669.686785712471</v>
      </c>
      <c r="Y43" s="89">
        <f t="shared" si="13"/>
        <v>25669.686785712471</v>
      </c>
      <c r="Z43" s="3"/>
      <c r="AA43" s="3"/>
    </row>
    <row r="44" spans="1:27" s="70" customFormat="1" ht="10.199999999999999" x14ac:dyDescent="0.2">
      <c r="A44" s="67"/>
      <c r="B44" s="67"/>
      <c r="C44" s="67"/>
      <c r="D44" s="67"/>
      <c r="E44" s="73"/>
      <c r="F44" s="68" t="str">
        <f>KPI!$F$68</f>
        <v>постоянные расходы на ТО производства</v>
      </c>
      <c r="G44" s="67"/>
      <c r="H44" s="67"/>
      <c r="I44" s="67"/>
      <c r="J44" s="67" t="str">
        <f>IF($F44="","",INDEX(KPI!$I$11:$I$275,SUMIFS(KPI!$E$11:$E$275,KPI!$F$11:$F$275,$F44)))</f>
        <v>тыс.руб.</v>
      </c>
      <c r="K44" s="67"/>
      <c r="L44" s="67"/>
      <c r="M44" s="69">
        <f t="shared" ref="M44:M58" si="14">SUM(O44:Z44)</f>
        <v>23815.12071827448</v>
      </c>
      <c r="N44" s="67"/>
      <c r="O44" s="67"/>
      <c r="P44" s="69">
        <f>SUMIFS(monthly!$77:$77,monthly!$9:$9,"&gt;="&amp;P$8,monthly!$9:$9,"&lt;="&amp;P$9)/(1+условия!T$182)</f>
        <v>1050</v>
      </c>
      <c r="Q44" s="69">
        <f>SUMIFS(monthly!$77:$77,monthly!$9:$9,"&gt;="&amp;Q$8,monthly!$9:$9,"&lt;="&amp;Q$9)/(1+условия!U$182)</f>
        <v>1400</v>
      </c>
      <c r="R44" s="69">
        <f>SUMIFS(monthly!$77:$77,monthly!$9:$9,"&gt;="&amp;R$8,monthly!$9:$9,"&lt;="&amp;R$9)/(1+условия!V$182)</f>
        <v>1400</v>
      </c>
      <c r="S44" s="69">
        <f>SUMIFS(monthly!$77:$77,monthly!$9:$9,"&gt;="&amp;S$8,monthly!$9:$9,"&lt;="&amp;S$9)/(1+условия!W$182)</f>
        <v>1400</v>
      </c>
      <c r="T44" s="69">
        <f>SUMIFS(monthly!$77:$77,monthly!$9:$9,"&gt;="&amp;T$8,monthly!$9:$9,"&lt;="&amp;T$9)/(1+условия!X$182)</f>
        <v>1824.1915561333335</v>
      </c>
      <c r="U44" s="69">
        <f>SUMIFS(monthly!$77:$77,monthly!$9:$9,"&gt;="&amp;U$8,monthly!$9:$9,"&lt;="&amp;U$9)/(1+условия!Y$182)</f>
        <v>2672.574668400001</v>
      </c>
      <c r="V44" s="69">
        <f>SUMIFS(monthly!$77:$77,monthly!$9:$9,"&gt;="&amp;V$8,monthly!$9:$9,"&lt;="&amp;V$9)/(1+условия!Z$182)</f>
        <v>2672.574668400001</v>
      </c>
      <c r="W44" s="69">
        <f>SUMIFS(monthly!$77:$77,monthly!$9:$9,"&gt;="&amp;W$8,monthly!$9:$9,"&lt;="&amp;W$9)/(1+условия!AA$182)</f>
        <v>3047.9142039712392</v>
      </c>
      <c r="X44" s="69">
        <f>SUMIFS(monthly!$77:$77,monthly!$9:$9,"&gt;="&amp;X$8,monthly!$9:$9,"&lt;="&amp;X$9)/(1+условия!AB$182)</f>
        <v>4173.9328106849543</v>
      </c>
      <c r="Y44" s="69">
        <f>SUMIFS(monthly!$77:$77,monthly!$9:$9,"&gt;="&amp;Y$8,monthly!$9:$9,"&lt;="&amp;Y$9)/(1+условия!AC$182)</f>
        <v>4173.9328106849543</v>
      </c>
      <c r="Z44" s="67"/>
      <c r="AA44" s="67"/>
    </row>
    <row r="45" spans="1:27" s="70" customFormat="1" ht="10.199999999999999" x14ac:dyDescent="0.2">
      <c r="A45" s="67"/>
      <c r="B45" s="67"/>
      <c r="C45" s="67"/>
      <c r="D45" s="67"/>
      <c r="E45" s="73"/>
      <c r="F45" s="68" t="str">
        <f>KPI!$F$72</f>
        <v>постоянные коммунальные расходы производства</v>
      </c>
      <c r="G45" s="67"/>
      <c r="H45" s="67"/>
      <c r="I45" s="67"/>
      <c r="J45" s="67" t="str">
        <f>IF($F45="","",INDEX(KPI!$I$11:$I$275,SUMIFS(KPI!$E$11:$E$275,KPI!$F$11:$F$275,$F45)))</f>
        <v>тыс.руб.</v>
      </c>
      <c r="K45" s="67"/>
      <c r="L45" s="67"/>
      <c r="M45" s="69">
        <f t="shared" si="14"/>
        <v>119075.6035913724</v>
      </c>
      <c r="N45" s="67"/>
      <c r="O45" s="67"/>
      <c r="P45" s="69">
        <f>SUMIFS(monthly!$81:$81,monthly!$9:$9,"&gt;="&amp;P$8,monthly!$9:$9,"&lt;="&amp;P$9)/(1+условия!T$182)</f>
        <v>5250</v>
      </c>
      <c r="Q45" s="69">
        <f>SUMIFS(monthly!$81:$81,monthly!$9:$9,"&gt;="&amp;Q$8,monthly!$9:$9,"&lt;="&amp;Q$9)/(1+условия!U$182)</f>
        <v>7000</v>
      </c>
      <c r="R45" s="69">
        <f>SUMIFS(monthly!$81:$81,monthly!$9:$9,"&gt;="&amp;R$8,monthly!$9:$9,"&lt;="&amp;R$9)/(1+условия!V$182)</f>
        <v>7000</v>
      </c>
      <c r="S45" s="69">
        <f>SUMIFS(monthly!$81:$81,monthly!$9:$9,"&gt;="&amp;S$8,monthly!$9:$9,"&lt;="&amp;S$9)/(1+условия!W$182)</f>
        <v>7000</v>
      </c>
      <c r="T45" s="69">
        <f>SUMIFS(monthly!$81:$81,monthly!$9:$9,"&gt;="&amp;T$8,monthly!$9:$9,"&lt;="&amp;T$9)/(1+условия!X$182)</f>
        <v>9120.9577806666675</v>
      </c>
      <c r="U45" s="69">
        <f>SUMIFS(monthly!$81:$81,monthly!$9:$9,"&gt;="&amp;U$8,monthly!$9:$9,"&lt;="&amp;U$9)/(1+условия!Y$182)</f>
        <v>13362.873342000003</v>
      </c>
      <c r="V45" s="69">
        <f>SUMIFS(monthly!$81:$81,monthly!$9:$9,"&gt;="&amp;V$8,monthly!$9:$9,"&lt;="&amp;V$9)/(1+условия!Z$182)</f>
        <v>13362.873342000003</v>
      </c>
      <c r="W45" s="69">
        <f>SUMIFS(monthly!$81:$81,monthly!$9:$9,"&gt;="&amp;W$8,monthly!$9:$9,"&lt;="&amp;W$9)/(1+условия!AA$182)</f>
        <v>15239.571019856194</v>
      </c>
      <c r="X45" s="69">
        <f>SUMIFS(monthly!$81:$81,monthly!$9:$9,"&gt;="&amp;X$8,monthly!$9:$9,"&lt;="&amp;X$9)/(1+условия!AB$182)</f>
        <v>20869.664053424774</v>
      </c>
      <c r="Y45" s="69">
        <f>SUMIFS(monthly!$81:$81,monthly!$9:$9,"&gt;="&amp;Y$8,monthly!$9:$9,"&lt;="&amp;Y$9)/(1+условия!AC$182)</f>
        <v>20869.664053424774</v>
      </c>
      <c r="Z45" s="67"/>
      <c r="AA45" s="67"/>
    </row>
    <row r="46" spans="1:27" s="70" customFormat="1" ht="10.199999999999999" x14ac:dyDescent="0.2">
      <c r="A46" s="67"/>
      <c r="B46" s="67"/>
      <c r="C46" s="67"/>
      <c r="D46" s="67"/>
      <c r="E46" s="73"/>
      <c r="F46" s="68" t="str">
        <f>KPI!$F$76</f>
        <v>прочие постоянные производственные расходы</v>
      </c>
      <c r="G46" s="67"/>
      <c r="H46" s="67"/>
      <c r="I46" s="67"/>
      <c r="J46" s="67" t="str">
        <f>IF($F46="","",INDEX(KPI!$I$11:$I$275,SUMIFS(KPI!$E$11:$E$275,KPI!$F$11:$F$275,$F46)))</f>
        <v>тыс.руб.</v>
      </c>
      <c r="K46" s="67"/>
      <c r="L46" s="67"/>
      <c r="M46" s="69">
        <f t="shared" si="14"/>
        <v>3572.2681077411712</v>
      </c>
      <c r="N46" s="67"/>
      <c r="O46" s="67"/>
      <c r="P46" s="69">
        <f>SUMIFS(monthly!$85:$85,monthly!$9:$9,"&gt;="&amp;P$8,monthly!$9:$9,"&lt;="&amp;P$9)/(1+условия!T$182)</f>
        <v>157.49999999999997</v>
      </c>
      <c r="Q46" s="69">
        <f>SUMIFS(monthly!$85:$85,monthly!$9:$9,"&gt;="&amp;Q$8,monthly!$9:$9,"&lt;="&amp;Q$9)/(1+условия!U$182)</f>
        <v>209.99999999999997</v>
      </c>
      <c r="R46" s="69">
        <f>SUMIFS(monthly!$85:$85,monthly!$9:$9,"&gt;="&amp;R$8,monthly!$9:$9,"&lt;="&amp;R$9)/(1+условия!V$182)</f>
        <v>209.99999999999997</v>
      </c>
      <c r="S46" s="69">
        <f>SUMIFS(monthly!$85:$85,monthly!$9:$9,"&gt;="&amp;S$8,monthly!$9:$9,"&lt;="&amp;S$9)/(1+условия!W$182)</f>
        <v>209.99999999999997</v>
      </c>
      <c r="T46" s="69">
        <f>SUMIFS(monthly!$85:$85,monthly!$9:$9,"&gt;="&amp;T$8,monthly!$9:$9,"&lt;="&amp;T$9)/(1+условия!X$182)</f>
        <v>273.62873341999995</v>
      </c>
      <c r="U46" s="69">
        <f>SUMIFS(monthly!$85:$85,monthly!$9:$9,"&gt;="&amp;U$8,monthly!$9:$9,"&lt;="&amp;U$9)/(1+условия!Y$182)</f>
        <v>400.88620026000001</v>
      </c>
      <c r="V46" s="69">
        <f>SUMIFS(monthly!$85:$85,monthly!$9:$9,"&gt;="&amp;V$8,monthly!$9:$9,"&lt;="&amp;V$9)/(1+условия!Z$182)</f>
        <v>400.88620026000001</v>
      </c>
      <c r="W46" s="69">
        <f>SUMIFS(monthly!$85:$85,monthly!$9:$9,"&gt;="&amp;W$8,monthly!$9:$9,"&lt;="&amp;W$9)/(1+условия!AA$182)</f>
        <v>457.18713059568569</v>
      </c>
      <c r="X46" s="69">
        <f>SUMIFS(monthly!$85:$85,monthly!$9:$9,"&gt;="&amp;X$8,monthly!$9:$9,"&lt;="&amp;X$9)/(1+условия!AB$182)</f>
        <v>626.08992160274283</v>
      </c>
      <c r="Y46" s="69">
        <f>SUMIFS(monthly!$85:$85,monthly!$9:$9,"&gt;="&amp;Y$8,monthly!$9:$9,"&lt;="&amp;Y$9)/(1+условия!AC$182)</f>
        <v>626.08992160274283</v>
      </c>
      <c r="Z46" s="67"/>
      <c r="AA46" s="67"/>
    </row>
    <row r="47" spans="1:27" s="93" customFormat="1" ht="6.6" x14ac:dyDescent="0.15">
      <c r="A47" s="90"/>
      <c r="B47" s="90"/>
      <c r="C47" s="90"/>
      <c r="D47" s="90"/>
      <c r="E47" s="91"/>
      <c r="F47" s="90"/>
      <c r="G47" s="90"/>
      <c r="H47" s="90"/>
      <c r="I47" s="90"/>
      <c r="J47" s="90"/>
      <c r="K47" s="90"/>
      <c r="L47" s="90"/>
      <c r="M47" s="92"/>
      <c r="N47" s="90"/>
      <c r="O47" s="90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0"/>
      <c r="AA47" s="90"/>
    </row>
    <row r="48" spans="1:27" x14ac:dyDescent="0.25">
      <c r="A48" s="3"/>
      <c r="B48" s="3"/>
      <c r="C48" s="3"/>
      <c r="D48" s="3"/>
      <c r="E48" s="55">
        <v>1</v>
      </c>
      <c r="F48" s="64" t="str">
        <f>KPI!$F$133</f>
        <v>Постоянный ФОТ</v>
      </c>
      <c r="G48" s="3"/>
      <c r="H48" s="3"/>
      <c r="I48" s="3"/>
      <c r="J48" s="3" t="str">
        <f>IF($F48="","",INDEX(KPI!$I$11:$I$275,SUMIFS(KPI!$E$11:$E$275,KPI!$F$11:$F$275,$F48)))</f>
        <v>тыс.руб.</v>
      </c>
      <c r="K48" s="3"/>
      <c r="L48" s="3"/>
      <c r="M48" s="33">
        <f t="shared" ref="M48" si="15">SUM(O48:Z48)</f>
        <v>515382.69060769345</v>
      </c>
      <c r="N48" s="3"/>
      <c r="O48" s="3"/>
      <c r="P48" s="33">
        <f>SUM(P49:P55)</f>
        <v>16160</v>
      </c>
      <c r="Q48" s="33">
        <f t="shared" ref="Q48:Y48" si="16">SUM(Q49:Q55)</f>
        <v>32376</v>
      </c>
      <c r="R48" s="33">
        <f t="shared" si="16"/>
        <v>34830.480000000003</v>
      </c>
      <c r="S48" s="33">
        <f t="shared" si="16"/>
        <v>38929.008000000002</v>
      </c>
      <c r="T48" s="33">
        <f t="shared" si="16"/>
        <v>44892.285348000005</v>
      </c>
      <c r="U48" s="33">
        <f t="shared" si="16"/>
        <v>58960.84402560001</v>
      </c>
      <c r="V48" s="33">
        <f t="shared" si="16"/>
        <v>60447.156869280007</v>
      </c>
      <c r="W48" s="33">
        <f t="shared" si="16"/>
        <v>64881.653811335069</v>
      </c>
      <c r="X48" s="33">
        <f t="shared" si="16"/>
        <v>81785.45675333339</v>
      </c>
      <c r="Y48" s="33">
        <f t="shared" si="16"/>
        <v>82119.80580014491</v>
      </c>
      <c r="Z48" s="3"/>
      <c r="AA48" s="3"/>
    </row>
    <row r="49" spans="1:27" s="70" customFormat="1" ht="10.199999999999999" x14ac:dyDescent="0.2">
      <c r="A49" s="67"/>
      <c r="B49" s="67"/>
      <c r="C49" s="67"/>
      <c r="D49" s="67"/>
      <c r="E49" s="73"/>
      <c r="F49" s="68" t="str">
        <f>KPI!$F$88</f>
        <v>постоянный ФОТ производственного персонала</v>
      </c>
      <c r="G49" s="67"/>
      <c r="H49" s="67"/>
      <c r="I49" s="67"/>
      <c r="J49" s="67" t="str">
        <f>IF($F49="","",INDEX(KPI!$I$11:$I$275,SUMIFS(KPI!$E$11:$E$275,KPI!$F$11:$F$275,$F49)))</f>
        <v>тыс.руб.</v>
      </c>
      <c r="K49" s="67"/>
      <c r="L49" s="67"/>
      <c r="M49" s="69">
        <f t="shared" si="14"/>
        <v>118433.72950081601</v>
      </c>
      <c r="N49" s="67"/>
      <c r="O49" s="67"/>
      <c r="P49" s="69">
        <f>SUMIFS(monthly!$93:$93,monthly!$9:$9,"&gt;="&amp;P$8,monthly!$9:$9,"&lt;="&amp;P$9)</f>
        <v>4000</v>
      </c>
      <c r="Q49" s="69">
        <f>SUMIFS(monthly!$93:$93,monthly!$9:$9,"&gt;="&amp;Q$8,monthly!$9:$9,"&lt;="&amp;Q$9)</f>
        <v>6000</v>
      </c>
      <c r="R49" s="69">
        <f>SUMIFS(monthly!$93:$93,monthly!$9:$9,"&gt;="&amp;R$8,monthly!$9:$9,"&lt;="&amp;R$9)</f>
        <v>6000</v>
      </c>
      <c r="S49" s="69">
        <f>SUMIFS(monthly!$93:$93,monthly!$9:$9,"&gt;="&amp;S$8,monthly!$9:$9,"&lt;="&amp;S$9)</f>
        <v>6000</v>
      </c>
      <c r="T49" s="69">
        <f>SUMIFS(monthly!$93:$93,monthly!$9:$9,"&gt;="&amp;T$8,monthly!$9:$9,"&lt;="&amp;T$9)</f>
        <v>7947.4749000000002</v>
      </c>
      <c r="U49" s="69">
        <f>SUMIFS(monthly!$93:$93,monthly!$9:$9,"&gt;="&amp;U$8,monthly!$9:$9,"&lt;="&amp;U$9)</f>
        <v>13789.899599999997</v>
      </c>
      <c r="V49" s="69">
        <f>SUMIFS(monthly!$93:$93,monthly!$9:$9,"&gt;="&amp;V$8,monthly!$9:$9,"&lt;="&amp;V$9)</f>
        <v>13789.899599999997</v>
      </c>
      <c r="W49" s="69">
        <f>SUMIFS(monthly!$93:$93,monthly!$9:$9,"&gt;="&amp;W$8,monthly!$9:$9,"&lt;="&amp;W$9)</f>
        <v>15292.727030832</v>
      </c>
      <c r="X49" s="69">
        <f>SUMIFS(monthly!$93:$93,monthly!$9:$9,"&gt;="&amp;X$8,monthly!$9:$9,"&lt;="&amp;X$9)</f>
        <v>22806.864184992006</v>
      </c>
      <c r="Y49" s="69">
        <f>SUMIFS(monthly!$93:$93,monthly!$9:$9,"&gt;="&amp;Y$8,monthly!$9:$9,"&lt;="&amp;Y$9)</f>
        <v>22806.864184992006</v>
      </c>
      <c r="Z49" s="67"/>
      <c r="AA49" s="67"/>
    </row>
    <row r="50" spans="1:27" s="70" customFormat="1" ht="10.199999999999999" x14ac:dyDescent="0.2">
      <c r="A50" s="67"/>
      <c r="B50" s="67"/>
      <c r="C50" s="67"/>
      <c r="D50" s="67"/>
      <c r="E50" s="73"/>
      <c r="F50" s="68" t="str">
        <f>KPI!$F$95</f>
        <v>постоянный ФОТ персонала склада СиМ</v>
      </c>
      <c r="G50" s="67"/>
      <c r="H50" s="67"/>
      <c r="I50" s="67"/>
      <c r="J50" s="67" t="str">
        <f>IF($F50="","",INDEX(KPI!$I$11:$I$275,SUMIFS(KPI!$E$11:$E$275,KPI!$F$11:$F$275,$F50)))</f>
        <v>тыс.руб.</v>
      </c>
      <c r="K50" s="67"/>
      <c r="L50" s="67"/>
      <c r="M50" s="69">
        <f t="shared" si="14"/>
        <v>21318.071310146883</v>
      </c>
      <c r="N50" s="67"/>
      <c r="O50" s="67"/>
      <c r="P50" s="69">
        <f>SUMIFS(monthly!$97:$97,monthly!$9:$9,"&gt;="&amp;P$8,monthly!$9:$9,"&lt;="&amp;P$9)</f>
        <v>720</v>
      </c>
      <c r="Q50" s="69">
        <f>SUMIFS(monthly!$97:$97,monthly!$9:$9,"&gt;="&amp;Q$8,monthly!$9:$9,"&lt;="&amp;Q$9)</f>
        <v>1080</v>
      </c>
      <c r="R50" s="69">
        <f>SUMIFS(monthly!$97:$97,monthly!$9:$9,"&gt;="&amp;R$8,monthly!$9:$9,"&lt;="&amp;R$9)</f>
        <v>1080</v>
      </c>
      <c r="S50" s="69">
        <f>SUMIFS(monthly!$97:$97,monthly!$9:$9,"&gt;="&amp;S$8,monthly!$9:$9,"&lt;="&amp;S$9)</f>
        <v>1080</v>
      </c>
      <c r="T50" s="69">
        <f>SUMIFS(monthly!$97:$97,monthly!$9:$9,"&gt;="&amp;T$8,monthly!$9:$9,"&lt;="&amp;T$9)</f>
        <v>1430.5454820000002</v>
      </c>
      <c r="U50" s="69">
        <f>SUMIFS(monthly!$97:$97,monthly!$9:$9,"&gt;="&amp;U$8,monthly!$9:$9,"&lt;="&amp;U$9)</f>
        <v>2482.181928</v>
      </c>
      <c r="V50" s="69">
        <f>SUMIFS(monthly!$97:$97,monthly!$9:$9,"&gt;="&amp;V$8,monthly!$9:$9,"&lt;="&amp;V$9)</f>
        <v>2482.181928</v>
      </c>
      <c r="W50" s="69">
        <f>SUMIFS(monthly!$97:$97,monthly!$9:$9,"&gt;="&amp;W$8,monthly!$9:$9,"&lt;="&amp;W$9)</f>
        <v>2752.69086554976</v>
      </c>
      <c r="X50" s="69">
        <f>SUMIFS(monthly!$97:$97,monthly!$9:$9,"&gt;="&amp;X$8,monthly!$9:$9,"&lt;="&amp;X$9)</f>
        <v>4105.2355532985594</v>
      </c>
      <c r="Y50" s="69">
        <f>SUMIFS(monthly!$97:$97,monthly!$9:$9,"&gt;="&amp;Y$8,monthly!$9:$9,"&lt;="&amp;Y$9)</f>
        <v>4105.2355532985594</v>
      </c>
      <c r="Z50" s="67"/>
      <c r="AA50" s="67"/>
    </row>
    <row r="51" spans="1:27" s="70" customFormat="1" ht="10.199999999999999" x14ac:dyDescent="0.2">
      <c r="A51" s="67"/>
      <c r="B51" s="67"/>
      <c r="C51" s="67"/>
      <c r="D51" s="67"/>
      <c r="E51" s="73"/>
      <c r="F51" s="68" t="str">
        <f>KPI!$F$101</f>
        <v>постоянный ФОТ персонала склада ГП</v>
      </c>
      <c r="G51" s="67"/>
      <c r="H51" s="67"/>
      <c r="I51" s="67"/>
      <c r="J51" s="67" t="str">
        <f>IF($F51="","",INDEX(KPI!$I$11:$I$275,SUMIFS(KPI!$E$11:$E$275,KPI!$F$11:$F$275,$F51)))</f>
        <v>тыс.руб.</v>
      </c>
      <c r="K51" s="67"/>
      <c r="L51" s="67"/>
      <c r="M51" s="69">
        <f t="shared" si="14"/>
        <v>35530.118850244806</v>
      </c>
      <c r="N51" s="67"/>
      <c r="O51" s="67"/>
      <c r="P51" s="69">
        <f>SUMIFS(monthly!$101:$101,monthly!$9:$9,"&gt;="&amp;P$8,monthly!$9:$9,"&lt;="&amp;P$9)</f>
        <v>1200</v>
      </c>
      <c r="Q51" s="69">
        <f>SUMIFS(monthly!$101:$101,monthly!$9:$9,"&gt;="&amp;Q$8,monthly!$9:$9,"&lt;="&amp;Q$9)</f>
        <v>1800</v>
      </c>
      <c r="R51" s="69">
        <f>SUMIFS(monthly!$101:$101,monthly!$9:$9,"&gt;="&amp;R$8,monthly!$9:$9,"&lt;="&amp;R$9)</f>
        <v>1800</v>
      </c>
      <c r="S51" s="69">
        <f>SUMIFS(monthly!$101:$101,monthly!$9:$9,"&gt;="&amp;S$8,monthly!$9:$9,"&lt;="&amp;S$9)</f>
        <v>1800</v>
      </c>
      <c r="T51" s="69">
        <f>SUMIFS(monthly!$101:$101,monthly!$9:$9,"&gt;="&amp;T$8,monthly!$9:$9,"&lt;="&amp;T$9)</f>
        <v>2384.2424700000001</v>
      </c>
      <c r="U51" s="69">
        <f>SUMIFS(monthly!$101:$101,monthly!$9:$9,"&gt;="&amp;U$8,monthly!$9:$9,"&lt;="&amp;U$9)</f>
        <v>4136.9698800000015</v>
      </c>
      <c r="V51" s="69">
        <f>SUMIFS(monthly!$101:$101,monthly!$9:$9,"&gt;="&amp;V$8,monthly!$9:$9,"&lt;="&amp;V$9)</f>
        <v>4136.9698800000015</v>
      </c>
      <c r="W51" s="69">
        <f>SUMIFS(monthly!$101:$101,monthly!$9:$9,"&gt;="&amp;W$8,monthly!$9:$9,"&lt;="&amp;W$9)</f>
        <v>4587.8181092496015</v>
      </c>
      <c r="X51" s="69">
        <f>SUMIFS(monthly!$101:$101,monthly!$9:$9,"&gt;="&amp;X$8,monthly!$9:$9,"&lt;="&amp;X$9)</f>
        <v>6842.059255497602</v>
      </c>
      <c r="Y51" s="69">
        <f>SUMIFS(monthly!$101:$101,monthly!$9:$9,"&gt;="&amp;Y$8,monthly!$9:$9,"&lt;="&amp;Y$9)</f>
        <v>6842.059255497602</v>
      </c>
      <c r="Z51" s="67"/>
      <c r="AA51" s="67"/>
    </row>
    <row r="52" spans="1:27" s="70" customFormat="1" ht="10.199999999999999" x14ac:dyDescent="0.2">
      <c r="A52" s="67"/>
      <c r="B52" s="67"/>
      <c r="C52" s="67"/>
      <c r="D52" s="67"/>
      <c r="E52" s="73"/>
      <c r="F52" s="68" t="str">
        <f>KPI!$F$107</f>
        <v>ФОТ топ-менеджеров</v>
      </c>
      <c r="G52" s="67"/>
      <c r="H52" s="67"/>
      <c r="I52" s="67"/>
      <c r="J52" s="67" t="str">
        <f>IF($F52="","",INDEX(KPI!$I$11:$I$275,SUMIFS(KPI!$E$11:$E$275,KPI!$F$11:$F$275,$F52)))</f>
        <v>тыс.руб.</v>
      </c>
      <c r="K52" s="67"/>
      <c r="L52" s="67"/>
      <c r="M52" s="69">
        <f t="shared" si="14"/>
        <v>150246.83559220191</v>
      </c>
      <c r="N52" s="67"/>
      <c r="O52" s="67"/>
      <c r="P52" s="69">
        <f>SUMIFS(monthly!$105:$105,monthly!$9:$9,"&gt;="&amp;P$8,monthly!$9:$9,"&lt;="&amp;P$9)</f>
        <v>4800</v>
      </c>
      <c r="Q52" s="69">
        <f>SUMIFS(monthly!$105:$105,monthly!$9:$9,"&gt;="&amp;Q$8,monthly!$9:$9,"&lt;="&amp;Q$9)</f>
        <v>12600</v>
      </c>
      <c r="R52" s="69">
        <f>SUMIFS(monthly!$105:$105,monthly!$9:$9,"&gt;="&amp;R$8,monthly!$9:$9,"&lt;="&amp;R$9)</f>
        <v>13482</v>
      </c>
      <c r="S52" s="69">
        <f>SUMIFS(monthly!$105:$105,monthly!$9:$9,"&gt;="&amp;S$8,monthly!$9:$9,"&lt;="&amp;S$9)</f>
        <v>14560.560000000005</v>
      </c>
      <c r="T52" s="69">
        <f>SUMIFS(monthly!$105:$105,monthly!$9:$9,"&gt;="&amp;T$8,monthly!$9:$9,"&lt;="&amp;T$9)</f>
        <v>15579.799200000003</v>
      </c>
      <c r="U52" s="69">
        <f>SUMIFS(monthly!$105:$105,monthly!$9:$9,"&gt;="&amp;U$8,monthly!$9:$9,"&lt;="&amp;U$9)</f>
        <v>16514.587152000004</v>
      </c>
      <c r="V52" s="69">
        <f>SUMIFS(monthly!$105:$105,monthly!$9:$9,"&gt;="&amp;V$8,monthly!$9:$9,"&lt;="&amp;V$9)</f>
        <v>17340.316509600005</v>
      </c>
      <c r="W52" s="69">
        <f>SUMIFS(monthly!$105:$105,monthly!$9:$9,"&gt;="&amp;W$8,monthly!$9:$9,"&lt;="&amp;W$9)</f>
        <v>18033.929169984011</v>
      </c>
      <c r="X52" s="69">
        <f>SUMIFS(monthly!$105:$105,monthly!$9:$9,"&gt;="&amp;X$8,monthly!$9:$9,"&lt;="&amp;X$9)</f>
        <v>18574.947045083525</v>
      </c>
      <c r="Y52" s="69">
        <f>SUMIFS(monthly!$105:$105,monthly!$9:$9,"&gt;="&amp;Y$8,monthly!$9:$9,"&lt;="&amp;Y$9)</f>
        <v>18760.696515534364</v>
      </c>
      <c r="Z52" s="67"/>
      <c r="AA52" s="67"/>
    </row>
    <row r="53" spans="1:27" s="70" customFormat="1" ht="10.199999999999999" x14ac:dyDescent="0.2">
      <c r="A53" s="67"/>
      <c r="B53" s="67"/>
      <c r="C53" s="67"/>
      <c r="D53" s="67"/>
      <c r="E53" s="73"/>
      <c r="F53" s="68" t="str">
        <f>KPI!$F$110</f>
        <v>ФОТ отдела продаж</v>
      </c>
      <c r="G53" s="67"/>
      <c r="H53" s="67"/>
      <c r="I53" s="67"/>
      <c r="J53" s="67" t="str">
        <f>IF($F53="","",INDEX(KPI!$I$11:$I$275,SUMIFS(KPI!$E$11:$E$275,KPI!$F$11:$F$275,$F53)))</f>
        <v>тыс.руб.</v>
      </c>
      <c r="K53" s="67"/>
      <c r="L53" s="67"/>
      <c r="M53" s="69">
        <f t="shared" si="14"/>
        <v>75797.586880522256</v>
      </c>
      <c r="N53" s="67"/>
      <c r="O53" s="67"/>
      <c r="P53" s="69">
        <f>SUMIFS(monthly!$107:$107,monthly!$9:$9,"&gt;="&amp;P$8,monthly!$9:$9,"&lt;="&amp;P$9)</f>
        <v>2560</v>
      </c>
      <c r="Q53" s="69">
        <f>SUMIFS(monthly!$107:$107,monthly!$9:$9,"&gt;="&amp;Q$8,monthly!$9:$9,"&lt;="&amp;Q$9)</f>
        <v>3840</v>
      </c>
      <c r="R53" s="69">
        <f>SUMIFS(monthly!$107:$107,monthly!$9:$9,"&gt;="&amp;R$8,monthly!$9:$9,"&lt;="&amp;R$9)</f>
        <v>3840</v>
      </c>
      <c r="S53" s="69">
        <f>SUMIFS(monthly!$107:$107,monthly!$9:$9,"&gt;="&amp;S$8,monthly!$9:$9,"&lt;="&amp;S$9)</f>
        <v>3840</v>
      </c>
      <c r="T53" s="69">
        <f>SUMIFS(monthly!$107:$107,monthly!$9:$9,"&gt;="&amp;T$8,monthly!$9:$9,"&lt;="&amp;T$9)</f>
        <v>5086.3839360000011</v>
      </c>
      <c r="U53" s="69">
        <f>SUMIFS(monthly!$107:$107,monthly!$9:$9,"&gt;="&amp;U$8,monthly!$9:$9,"&lt;="&amp;U$9)</f>
        <v>8825.5357440000025</v>
      </c>
      <c r="V53" s="69">
        <f>SUMIFS(monthly!$107:$107,monthly!$9:$9,"&gt;="&amp;V$8,monthly!$9:$9,"&lt;="&amp;V$9)</f>
        <v>8825.5357440000025</v>
      </c>
      <c r="W53" s="69">
        <f>SUMIFS(monthly!$107:$107,monthly!$9:$9,"&gt;="&amp;W$8,monthly!$9:$9,"&lt;="&amp;W$9)</f>
        <v>9787.3452997324839</v>
      </c>
      <c r="X53" s="69">
        <f>SUMIFS(monthly!$107:$107,monthly!$9:$9,"&gt;="&amp;X$8,monthly!$9:$9,"&lt;="&amp;X$9)</f>
        <v>14596.393078394884</v>
      </c>
      <c r="Y53" s="69">
        <f>SUMIFS(monthly!$107:$107,monthly!$9:$9,"&gt;="&amp;Y$8,monthly!$9:$9,"&lt;="&amp;Y$9)</f>
        <v>14596.393078394884</v>
      </c>
      <c r="Z53" s="67"/>
      <c r="AA53" s="67"/>
    </row>
    <row r="54" spans="1:27" s="70" customFormat="1" ht="10.199999999999999" x14ac:dyDescent="0.2">
      <c r="A54" s="67"/>
      <c r="B54" s="67"/>
      <c r="C54" s="67"/>
      <c r="D54" s="67"/>
      <c r="E54" s="73"/>
      <c r="F54" s="68" t="str">
        <f>KPI!$F$113</f>
        <v>ФОТ прочего управленческого персонала</v>
      </c>
      <c r="G54" s="67"/>
      <c r="H54" s="67"/>
      <c r="I54" s="67"/>
      <c r="J54" s="67" t="str">
        <f>IF($F54="","",INDEX(KPI!$I$11:$I$275,SUMIFS(KPI!$E$11:$E$275,KPI!$F$11:$F$275,$F54)))</f>
        <v>тыс.руб.</v>
      </c>
      <c r="K54" s="67"/>
      <c r="L54" s="67"/>
      <c r="M54" s="69">
        <f t="shared" si="14"/>
        <v>114056.34847376152</v>
      </c>
      <c r="N54" s="67"/>
      <c r="O54" s="67"/>
      <c r="P54" s="69">
        <f>SUMIFS(monthly!$109:$109,monthly!$9:$9,"&gt;="&amp;P$8,monthly!$9:$9,"&lt;="&amp;P$9)</f>
        <v>2880</v>
      </c>
      <c r="Q54" s="69">
        <f>SUMIFS(monthly!$109:$109,monthly!$9:$9,"&gt;="&amp;Q$8,monthly!$9:$9,"&lt;="&amp;Q$9)</f>
        <v>7056</v>
      </c>
      <c r="R54" s="69">
        <f>SUMIFS(monthly!$109:$109,monthly!$9:$9,"&gt;="&amp;R$8,monthly!$9:$9,"&lt;="&amp;R$9)</f>
        <v>8628.4800000000014</v>
      </c>
      <c r="S54" s="69">
        <f>SUMIFS(monthly!$109:$109,monthly!$9:$9,"&gt;="&amp;S$8,monthly!$9:$9,"&lt;="&amp;S$9)</f>
        <v>11648.447999999999</v>
      </c>
      <c r="T54" s="69">
        <f>SUMIFS(monthly!$109:$109,monthly!$9:$9,"&gt;="&amp;T$8,monthly!$9:$9,"&lt;="&amp;T$9)</f>
        <v>12463.839360000005</v>
      </c>
      <c r="U54" s="69">
        <f>SUMIFS(monthly!$109:$109,monthly!$9:$9,"&gt;="&amp;U$8,monthly!$9:$9,"&lt;="&amp;U$9)</f>
        <v>13211.669721600001</v>
      </c>
      <c r="V54" s="69">
        <f>SUMIFS(monthly!$109:$109,monthly!$9:$9,"&gt;="&amp;V$8,monthly!$9:$9,"&lt;="&amp;V$9)</f>
        <v>13872.253207680005</v>
      </c>
      <c r="W54" s="69">
        <f>SUMIFS(monthly!$109:$109,monthly!$9:$9,"&gt;="&amp;W$8,monthly!$9:$9,"&lt;="&amp;W$9)</f>
        <v>14427.143335987208</v>
      </c>
      <c r="X54" s="69">
        <f>SUMIFS(monthly!$109:$109,monthly!$9:$9,"&gt;="&amp;X$8,monthly!$9:$9,"&lt;="&amp;X$9)</f>
        <v>14859.957636066822</v>
      </c>
      <c r="Y54" s="69">
        <f>SUMIFS(monthly!$109:$109,monthly!$9:$9,"&gt;="&amp;Y$8,monthly!$9:$9,"&lt;="&amp;Y$9)</f>
        <v>15008.557212427491</v>
      </c>
      <c r="Z54" s="67"/>
      <c r="AA54" s="67"/>
    </row>
    <row r="55" spans="1:27" s="93" customFormat="1" ht="6.6" x14ac:dyDescent="0.15">
      <c r="A55" s="90"/>
      <c r="B55" s="90"/>
      <c r="C55" s="90"/>
      <c r="D55" s="90"/>
      <c r="E55" s="91"/>
      <c r="F55" s="98"/>
      <c r="G55" s="90"/>
      <c r="H55" s="90"/>
      <c r="I55" s="90"/>
      <c r="J55" s="90"/>
      <c r="K55" s="90"/>
      <c r="L55" s="90"/>
      <c r="M55" s="92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x14ac:dyDescent="0.25">
      <c r="A56" s="3"/>
      <c r="B56" s="3"/>
      <c r="C56" s="3"/>
      <c r="D56" s="3"/>
      <c r="E56" s="55">
        <v>1</v>
      </c>
      <c r="F56" s="64" t="str">
        <f>KPI!$F$118</f>
        <v>Отчисления в соц. фонды</v>
      </c>
      <c r="G56" s="3"/>
      <c r="H56" s="3"/>
      <c r="I56" s="3"/>
      <c r="J56" s="3" t="str">
        <f>IF($F56="","",INDEX(KPI!$I$11:$I$275,SUMIFS(KPI!$E$11:$E$275,KPI!$F$11:$F$275,$F56)))</f>
        <v>тыс.руб.</v>
      </c>
      <c r="K56" s="3"/>
      <c r="L56" s="3"/>
      <c r="M56" s="33">
        <f t="shared" ref="M56" si="17">SUM(O56:Z56)</f>
        <v>154614.807182308</v>
      </c>
      <c r="N56" s="3"/>
      <c r="O56" s="3"/>
      <c r="P56" s="33">
        <f>P48*условия!$Q$176</f>
        <v>4848</v>
      </c>
      <c r="Q56" s="33">
        <f>Q48*условия!$Q$176</f>
        <v>9712.7999999999993</v>
      </c>
      <c r="R56" s="33">
        <f>R48*условия!$Q$176</f>
        <v>10449.144</v>
      </c>
      <c r="S56" s="33">
        <f>S48*условия!$Q$176</f>
        <v>11678.7024</v>
      </c>
      <c r="T56" s="33">
        <f>T48*условия!$Q$176</f>
        <v>13467.685604400001</v>
      </c>
      <c r="U56" s="33">
        <f>U48*условия!$Q$176</f>
        <v>17688.253207680002</v>
      </c>
      <c r="V56" s="33">
        <f>V48*условия!$Q$176</f>
        <v>18134.147060784002</v>
      </c>
      <c r="W56" s="33">
        <f>W48*условия!$Q$176</f>
        <v>19464.49614340052</v>
      </c>
      <c r="X56" s="33">
        <f>X48*условия!$Q$176</f>
        <v>24535.637026000015</v>
      </c>
      <c r="Y56" s="33">
        <f>Y48*условия!$Q$176</f>
        <v>24635.941740043472</v>
      </c>
      <c r="Z56" s="3"/>
      <c r="AA56" s="3"/>
    </row>
    <row r="57" spans="1:27" s="93" customFormat="1" ht="6.6" x14ac:dyDescent="0.15">
      <c r="A57" s="90"/>
      <c r="B57" s="90"/>
      <c r="C57" s="90"/>
      <c r="D57" s="90"/>
      <c r="E57" s="91"/>
      <c r="F57" s="90"/>
      <c r="G57" s="90"/>
      <c r="H57" s="90"/>
      <c r="I57" s="90"/>
      <c r="J57" s="90"/>
      <c r="K57" s="90"/>
      <c r="L57" s="90"/>
      <c r="M57" s="92"/>
      <c r="N57" s="90"/>
      <c r="O57" s="9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0"/>
      <c r="AA57" s="90"/>
    </row>
    <row r="58" spans="1:27" x14ac:dyDescent="0.25">
      <c r="A58" s="3"/>
      <c r="B58" s="3"/>
      <c r="C58" s="3"/>
      <c r="D58" s="3"/>
      <c r="E58" s="55">
        <v>1</v>
      </c>
      <c r="F58" s="64" t="str">
        <f>KPI!$F$123</f>
        <v>АНХ расходы</v>
      </c>
      <c r="G58" s="3"/>
      <c r="H58" s="3"/>
      <c r="I58" s="3"/>
      <c r="J58" s="3" t="str">
        <f>IF($F58="","",INDEX(KPI!$I$11:$I$275,SUMIFS(KPI!$E$11:$E$275,KPI!$F$11:$F$275,$F58)))</f>
        <v>тыс.руб.</v>
      </c>
      <c r="K58" s="3"/>
      <c r="L58" s="3"/>
      <c r="M58" s="33">
        <f t="shared" si="14"/>
        <v>12713.636963016765</v>
      </c>
      <c r="N58" s="3"/>
      <c r="O58" s="3"/>
      <c r="P58" s="33">
        <f>SUMIFS(monthly!$123:$123,monthly!$9:$9,"&gt;="&amp;P$8,monthly!$9:$9,"&lt;="&amp;P$9)/(1+условия!T$182)</f>
        <v>353.33333333333337</v>
      </c>
      <c r="Q58" s="33">
        <f>SUMIFS(monthly!$123:$123,monthly!$9:$9,"&gt;="&amp;Q$8,monthly!$9:$9,"&lt;="&amp;Q$9)/(1+условия!U$182)</f>
        <v>651.00000000000011</v>
      </c>
      <c r="R58" s="33">
        <f>SUMIFS(monthly!$123:$123,monthly!$9:$9,"&gt;="&amp;R$8,monthly!$9:$9,"&lt;="&amp;R$9)/(1+условия!V$182)</f>
        <v>719.04000000000008</v>
      </c>
      <c r="S58" s="33">
        <f>SUMIFS(monthly!$123:$123,monthly!$9:$9,"&gt;="&amp;S$8,monthly!$9:$9,"&lt;="&amp;S$9)/(1+условия!W$182)</f>
        <v>825.09840000000042</v>
      </c>
      <c r="T58" s="33">
        <f>SUMIFS(monthly!$123:$123,monthly!$9:$9,"&gt;="&amp;T$8,monthly!$9:$9,"&lt;="&amp;T$9)/(1+условия!X$182)</f>
        <v>1006.1953650000004</v>
      </c>
      <c r="U58" s="33">
        <f>SUMIFS(monthly!$123:$123,monthly!$9:$9,"&gt;="&amp;U$8,monthly!$9:$9,"&lt;="&amp;U$9)/(1+условия!Y$182)</f>
        <v>1458.7885317600008</v>
      </c>
      <c r="V58" s="33">
        <f>SUMIFS(monthly!$123:$123,monthly!$9:$9,"&gt;="&amp;V$8,monthly!$9:$9,"&lt;="&amp;V$9)/(1+условия!Z$182)</f>
        <v>1531.727958348001</v>
      </c>
      <c r="W58" s="33">
        <f>SUMIFS(monthly!$123:$123,monthly!$9:$9,"&gt;="&amp;W$8,monthly!$9:$9,"&lt;="&amp;W$9)/(1+условия!AA$182)</f>
        <v>1688.1761473012805</v>
      </c>
      <c r="X58" s="33">
        <f>SUMIFS(monthly!$123:$123,monthly!$9:$9,"&gt;="&amp;X$8,monthly!$9:$9,"&lt;="&amp;X$9)/(1+условия!AB$182)</f>
        <v>2228.9936454100234</v>
      </c>
      <c r="Y58" s="33">
        <f>SUMIFS(monthly!$123:$123,monthly!$9:$9,"&gt;="&amp;Y$8,monthly!$9:$9,"&lt;="&amp;Y$9)/(1+условия!AC$182)</f>
        <v>2251.2835818641242</v>
      </c>
      <c r="Z58" s="3"/>
      <c r="AA58" s="3"/>
    </row>
    <row r="59" spans="1:27" s="93" customFormat="1" ht="6.6" x14ac:dyDescent="0.15">
      <c r="A59" s="90"/>
      <c r="B59" s="90"/>
      <c r="C59" s="90"/>
      <c r="D59" s="90"/>
      <c r="E59" s="91"/>
      <c r="F59" s="90"/>
      <c r="G59" s="90"/>
      <c r="H59" s="90"/>
      <c r="I59" s="90"/>
      <c r="J59" s="90"/>
      <c r="K59" s="90"/>
      <c r="L59" s="90"/>
      <c r="M59" s="92"/>
      <c r="N59" s="90"/>
      <c r="O59" s="9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  <c r="AA59" s="90"/>
    </row>
    <row r="60" spans="1:27" x14ac:dyDescent="0.25">
      <c r="A60" s="3"/>
      <c r="B60" s="3"/>
      <c r="C60" s="3"/>
      <c r="D60" s="3"/>
      <c r="E60" s="55">
        <v>1</v>
      </c>
      <c r="F60" s="64" t="str">
        <f>KPI!$F$240</f>
        <v>Налог на имущество</v>
      </c>
      <c r="G60" s="3"/>
      <c r="H60" s="3"/>
      <c r="I60" s="3"/>
      <c r="J60" s="3" t="str">
        <f>IF($F60="","",INDEX(KPI!$I$11:$I$275,SUMIFS(KPI!$E$11:$E$275,KPI!$F$11:$F$275,$F60)))</f>
        <v>тыс.руб.</v>
      </c>
      <c r="K60" s="3"/>
      <c r="L60" s="3"/>
      <c r="M60" s="33">
        <f t="shared" ref="M60" si="18">SUM(O60:Z60)</f>
        <v>6951.5076712534037</v>
      </c>
      <c r="N60" s="3"/>
      <c r="O60" s="3"/>
      <c r="P60" s="33">
        <f>условия!$Q$186*условия!T$184*(BS!O$19+BS!O$21+BS!P$19+BS!P$21)/2</f>
        <v>296.77083333333331</v>
      </c>
      <c r="Q60" s="33">
        <f>условия!$Q$186*условия!U$184*(BS!P$19+BS!P$21+BS!Q$19+BS!Q$21)/2</f>
        <v>561.45833333333337</v>
      </c>
      <c r="R60" s="33">
        <f>условия!$Q$186*условия!V$184*(BS!Q$19+BS!Q$21+BS!R$19+BS!R$21)/2</f>
        <v>497.29166666666669</v>
      </c>
      <c r="S60" s="33">
        <f>условия!$Q$186*условия!W$184*(BS!R$19+BS!R$21+BS!S$19+BS!S$21)/2</f>
        <v>433.12500000000006</v>
      </c>
      <c r="T60" s="33">
        <f>условия!$Q$186*условия!X$184*(BS!S$19+BS!S$21+BS!T$19+BS!T$21)/2</f>
        <v>650.86897168027804</v>
      </c>
      <c r="U60" s="33">
        <f>условия!$Q$186*условия!Y$184*(BS!T$19+BS!T$21+BS!U$19+BS!U$21)/2</f>
        <v>839.44977387638903</v>
      </c>
      <c r="V60" s="33">
        <f>условия!$Q$186*условия!Z$184*(BS!U$19+BS!U$21+BS!V$19+BS!V$21)/2</f>
        <v>716.95676824138877</v>
      </c>
      <c r="W60" s="33">
        <f>условия!$Q$186*условия!AA$184*(BS!V$19+BS!V$21+BS!W$19+BS!W$21)/2</f>
        <v>929.92347252318291</v>
      </c>
      <c r="X60" s="33">
        <f>условия!$Q$186*условия!AB$184*(BS!W$19+BS!W$21+BS!X$19+BS!X$21)/2</f>
        <v>1108.4840527109463</v>
      </c>
      <c r="Y60" s="33">
        <f>условия!$Q$186*условия!AC$184*(BS!X$19+BS!X$21+BS!Y$19+BS!Y$21)/2</f>
        <v>917.17879888788627</v>
      </c>
      <c r="Z60" s="3"/>
      <c r="AA60" s="3"/>
    </row>
    <row r="61" spans="1:27" s="93" customFormat="1" ht="6.6" x14ac:dyDescent="0.15">
      <c r="A61" s="90"/>
      <c r="B61" s="90"/>
      <c r="C61" s="90"/>
      <c r="D61" s="90"/>
      <c r="E61" s="91"/>
      <c r="F61" s="90"/>
      <c r="G61" s="90"/>
      <c r="H61" s="90"/>
      <c r="I61" s="90"/>
      <c r="J61" s="90"/>
      <c r="K61" s="90"/>
      <c r="L61" s="90"/>
      <c r="M61" s="92"/>
      <c r="N61" s="90"/>
      <c r="O61" s="9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0"/>
      <c r="AA61" s="90"/>
    </row>
    <row r="62" spans="1:27" s="101" customFormat="1" ht="6.6" x14ac:dyDescent="0.15">
      <c r="A62" s="99"/>
      <c r="B62" s="99"/>
      <c r="C62" s="99"/>
      <c r="D62" s="99"/>
      <c r="E62" s="91"/>
      <c r="F62" s="99"/>
      <c r="G62" s="99"/>
      <c r="H62" s="99"/>
      <c r="I62" s="99"/>
      <c r="J62" s="99"/>
      <c r="K62" s="99"/>
      <c r="L62" s="99"/>
      <c r="M62" s="100"/>
      <c r="N62" s="99"/>
      <c r="O62" s="99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99"/>
      <c r="AA62" s="99"/>
    </row>
    <row r="63" spans="1:27" s="66" customFormat="1" ht="14.4" thickBot="1" x14ac:dyDescent="0.35">
      <c r="A63" s="65"/>
      <c r="B63" s="65"/>
      <c r="C63" s="65"/>
      <c r="D63" s="65"/>
      <c r="E63" s="72"/>
      <c r="F63" s="83" t="str">
        <f>KPI!$F$135</f>
        <v>EBITDA - прибыль от собственной операц. деят-ти</v>
      </c>
      <c r="G63" s="65"/>
      <c r="H63" s="65"/>
      <c r="I63" s="65"/>
      <c r="J63" s="83" t="str">
        <f>IF($F63="","",INDEX(KPI!$I$11:$I$275,SUMIFS(KPI!$E$11:$E$275,KPI!$F$11:$F$275,$F63)))</f>
        <v>тыс.руб.</v>
      </c>
      <c r="K63" s="65"/>
      <c r="L63" s="65"/>
      <c r="M63" s="84">
        <f>SUM(O63:Z63)</f>
        <v>971036.29307012632</v>
      </c>
      <c r="N63" s="65"/>
      <c r="O63" s="65"/>
      <c r="P63" s="84">
        <f>P40-P42</f>
        <v>-27945.842645771983</v>
      </c>
      <c r="Q63" s="84">
        <f t="shared" ref="Q63:Y63" si="19">Q40-Q42</f>
        <v>-46748.478461059902</v>
      </c>
      <c r="R63" s="84">
        <f t="shared" si="19"/>
        <v>-31309.143936099888</v>
      </c>
      <c r="S63" s="84">
        <f t="shared" si="19"/>
        <v>979.79261432339263</v>
      </c>
      <c r="T63" s="84">
        <f t="shared" si="19"/>
        <v>62371.923221341713</v>
      </c>
      <c r="U63" s="84">
        <f t="shared" si="19"/>
        <v>114379.76505071764</v>
      </c>
      <c r="V63" s="84">
        <f t="shared" si="19"/>
        <v>182784.86897240172</v>
      </c>
      <c r="W63" s="84">
        <f t="shared" si="19"/>
        <v>225977.18494755158</v>
      </c>
      <c r="X63" s="84">
        <f t="shared" si="19"/>
        <v>239488.05639532904</v>
      </c>
      <c r="Y63" s="84">
        <f t="shared" si="19"/>
        <v>251058.16691139303</v>
      </c>
      <c r="Z63" s="65"/>
      <c r="AA63" s="65"/>
    </row>
    <row r="64" spans="1:27" s="93" customFormat="1" ht="7.2" thickTop="1" x14ac:dyDescent="0.15">
      <c r="A64" s="90"/>
      <c r="B64" s="90"/>
      <c r="C64" s="90"/>
      <c r="D64" s="90"/>
      <c r="E64" s="91"/>
      <c r="F64" s="94"/>
      <c r="G64" s="90"/>
      <c r="H64" s="90"/>
      <c r="I64" s="90"/>
      <c r="J64" s="94"/>
      <c r="K64" s="90"/>
      <c r="L64" s="90"/>
      <c r="M64" s="95"/>
      <c r="N64" s="90"/>
      <c r="O64" s="90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0"/>
      <c r="AA64" s="90"/>
    </row>
    <row r="65" spans="1:27" x14ac:dyDescent="0.25">
      <c r="A65" s="3"/>
      <c r="B65" s="3"/>
      <c r="C65" s="3"/>
      <c r="D65" s="3"/>
      <c r="E65" s="55">
        <v>1</v>
      </c>
      <c r="F65" s="64" t="str">
        <f>KPI!$F$136</f>
        <v>Амортизация</v>
      </c>
      <c r="G65" s="3"/>
      <c r="H65" s="3"/>
      <c r="I65" s="3"/>
      <c r="J65" s="3" t="str">
        <f>IF($F65="","",INDEX(KPI!$I$11:$I$275,SUMIFS(KPI!$E$11:$E$275,KPI!$F$11:$F$275,$F65)))</f>
        <v>тыс.руб.</v>
      </c>
      <c r="K65" s="3"/>
      <c r="L65" s="3"/>
      <c r="M65" s="33">
        <f t="shared" ref="M65" si="20">SUM(O65:Z65)</f>
        <v>99229.669659477004</v>
      </c>
      <c r="N65" s="3"/>
      <c r="O65" s="3"/>
      <c r="P65" s="33">
        <f>(SUMIFS(monthly!$19:$19,monthly!$9:$9,"&gt;="&amp;P$8,monthly!$9:$9,"&lt;="&amp;P$9)+SUMIFS(monthly!$67:$67,monthly!$9:$9,"&gt;="&amp;P$8,monthly!$9:$9,"&lt;="&amp;P$9))/(1+условия!T$182)</f>
        <v>4375</v>
      </c>
      <c r="Q65" s="33">
        <f>(SUMIFS(monthly!$19:$19,monthly!$9:$9,"&gt;="&amp;Q$8,monthly!$9:$9,"&lt;="&amp;Q$9)+SUMIFS(monthly!$67:$67,monthly!$9:$9,"&gt;="&amp;Q$8,monthly!$9:$9,"&lt;="&amp;Q$9))/(1+условия!U$182)</f>
        <v>5833.333333333333</v>
      </c>
      <c r="R65" s="33">
        <f>(SUMIFS(monthly!$19:$19,monthly!$9:$9,"&gt;="&amp;R$8,monthly!$9:$9,"&lt;="&amp;R$9)+SUMIFS(monthly!$67:$67,monthly!$9:$9,"&gt;="&amp;R$8,monthly!$9:$9,"&lt;="&amp;R$9))/(1+условия!V$182)</f>
        <v>5833.333333333333</v>
      </c>
      <c r="S65" s="33">
        <f>(SUMIFS(monthly!$19:$19,monthly!$9:$9,"&gt;="&amp;S$8,monthly!$9:$9,"&lt;="&amp;S$9)+SUMIFS(monthly!$67:$67,monthly!$9:$9,"&gt;="&amp;S$8,monthly!$9:$9,"&lt;="&amp;S$9))/(1+условия!W$182)</f>
        <v>5833.333333333333</v>
      </c>
      <c r="T65" s="33">
        <f>(SUMIFS(monthly!$19:$19,monthly!$9:$9,"&gt;="&amp;T$8,monthly!$9:$9,"&lt;="&amp;T$9)+SUMIFS(monthly!$67:$67,monthly!$9:$9,"&gt;="&amp;T$8,monthly!$9:$9,"&lt;="&amp;T$9))/(1+условия!X$182)</f>
        <v>7600.7981505555563</v>
      </c>
      <c r="U65" s="33">
        <f>(SUMIFS(monthly!$19:$19,monthly!$9:$9,"&gt;="&amp;U$8,monthly!$9:$9,"&lt;="&amp;U$9)+SUMIFS(monthly!$67:$67,monthly!$9:$9,"&gt;="&amp;U$8,monthly!$9:$9,"&lt;="&amp;U$9))/(1+условия!Y$182)</f>
        <v>11135.727785000003</v>
      </c>
      <c r="V65" s="33">
        <f>(SUMIFS(monthly!$19:$19,monthly!$9:$9,"&gt;="&amp;V$8,monthly!$9:$9,"&lt;="&amp;V$9)+SUMIFS(monthly!$67:$67,monthly!$9:$9,"&gt;="&amp;V$8,monthly!$9:$9,"&lt;="&amp;V$9))/(1+условия!Z$182)</f>
        <v>11135.727785000003</v>
      </c>
      <c r="W65" s="33">
        <f>(SUMIFS(monthly!$19:$19,monthly!$9:$9,"&gt;="&amp;W$8,monthly!$9:$9,"&lt;="&amp;W$9)+SUMIFS(monthly!$67:$67,monthly!$9:$9,"&gt;="&amp;W$8,monthly!$9:$9,"&lt;="&amp;W$9))/(1+условия!AA$182)</f>
        <v>12699.642516546828</v>
      </c>
      <c r="X65" s="33">
        <f>(SUMIFS(monthly!$19:$19,monthly!$9:$9,"&gt;="&amp;X$8,monthly!$9:$9,"&lt;="&amp;X$9)+SUMIFS(monthly!$67:$67,monthly!$9:$9,"&gt;="&amp;X$8,monthly!$9:$9,"&lt;="&amp;X$9))/(1+условия!AB$182)</f>
        <v>17391.386711187308</v>
      </c>
      <c r="Y65" s="33">
        <f>(SUMIFS(monthly!$19:$19,monthly!$9:$9,"&gt;="&amp;Y$8,monthly!$9:$9,"&lt;="&amp;Y$9)+SUMIFS(monthly!$67:$67,monthly!$9:$9,"&gt;="&amp;Y$8,monthly!$9:$9,"&lt;="&amp;Y$9))/(1+условия!AC$182)</f>
        <v>17391.386711187308</v>
      </c>
      <c r="Z65" s="3"/>
      <c r="AA65" s="3"/>
    </row>
    <row r="66" spans="1:27" s="93" customFormat="1" ht="6.6" x14ac:dyDescent="0.15">
      <c r="A66" s="90"/>
      <c r="B66" s="90"/>
      <c r="C66" s="90"/>
      <c r="D66" s="90"/>
      <c r="E66" s="91"/>
      <c r="F66" s="90"/>
      <c r="G66" s="90"/>
      <c r="H66" s="90"/>
      <c r="I66" s="90"/>
      <c r="J66" s="90"/>
      <c r="K66" s="90"/>
      <c r="L66" s="90"/>
      <c r="M66" s="92"/>
      <c r="N66" s="90"/>
      <c r="O66" s="90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0"/>
      <c r="AA66" s="90"/>
    </row>
    <row r="67" spans="1:27" s="66" customFormat="1" ht="13.8" x14ac:dyDescent="0.3">
      <c r="A67" s="65"/>
      <c r="B67" s="65"/>
      <c r="C67" s="65"/>
      <c r="D67" s="65"/>
      <c r="E67" s="72"/>
      <c r="F67" s="85" t="str">
        <f>KPI!$F$137</f>
        <v>EBIT - прибыль до учета %-тов и налога на прибыль</v>
      </c>
      <c r="G67" s="65"/>
      <c r="H67" s="65"/>
      <c r="I67" s="65"/>
      <c r="J67" s="85" t="str">
        <f>IF($F67="","",INDEX(KPI!$I$11:$I$275,SUMIFS(KPI!$E$11:$E$275,KPI!$F$11:$F$275,$F67)))</f>
        <v>тыс.руб.</v>
      </c>
      <c r="K67" s="65"/>
      <c r="L67" s="65"/>
      <c r="M67" s="88">
        <f>SUM(O67:Z67)</f>
        <v>871806.62341064936</v>
      </c>
      <c r="N67" s="65"/>
      <c r="O67" s="65"/>
      <c r="P67" s="88">
        <f>P63-P65</f>
        <v>-32320.842645771983</v>
      </c>
      <c r="Q67" s="88">
        <f t="shared" ref="Q67:Y67" si="21">Q63-Q65</f>
        <v>-52581.811794393238</v>
      </c>
      <c r="R67" s="88">
        <f t="shared" si="21"/>
        <v>-37142.47726943322</v>
      </c>
      <c r="S67" s="88">
        <f t="shared" si="21"/>
        <v>-4853.5407190099404</v>
      </c>
      <c r="T67" s="88">
        <f t="shared" si="21"/>
        <v>54771.125070786155</v>
      </c>
      <c r="U67" s="88">
        <f t="shared" si="21"/>
        <v>103244.03726571763</v>
      </c>
      <c r="V67" s="88">
        <f t="shared" si="21"/>
        <v>171649.14118740172</v>
      </c>
      <c r="W67" s="88">
        <f t="shared" si="21"/>
        <v>213277.54243100475</v>
      </c>
      <c r="X67" s="88">
        <f t="shared" si="21"/>
        <v>222096.66968414173</v>
      </c>
      <c r="Y67" s="88">
        <f t="shared" si="21"/>
        <v>233666.78020020571</v>
      </c>
      <c r="Z67" s="65"/>
      <c r="AA67" s="65"/>
    </row>
    <row r="68" spans="1:27" s="93" customFormat="1" ht="6.6" x14ac:dyDescent="0.15">
      <c r="A68" s="90"/>
      <c r="B68" s="90"/>
      <c r="C68" s="90"/>
      <c r="D68" s="90"/>
      <c r="E68" s="91"/>
      <c r="F68" s="96"/>
      <c r="G68" s="90"/>
      <c r="H68" s="90"/>
      <c r="I68" s="90"/>
      <c r="J68" s="96"/>
      <c r="K68" s="90"/>
      <c r="L68" s="90"/>
      <c r="M68" s="97"/>
      <c r="N68" s="90"/>
      <c r="O68" s="90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0"/>
      <c r="AA68" s="90"/>
    </row>
    <row r="69" spans="1:27" x14ac:dyDescent="0.25">
      <c r="A69" s="3"/>
      <c r="B69" s="3"/>
      <c r="C69" s="3"/>
      <c r="D69" s="3"/>
      <c r="E69" s="55">
        <v>1</v>
      </c>
      <c r="F69" s="64" t="str">
        <f>KPI!$F$197</f>
        <v>Начисление процентов по овердрафту</v>
      </c>
      <c r="G69" s="3"/>
      <c r="H69" s="3"/>
      <c r="I69" s="3"/>
      <c r="J69" s="3" t="str">
        <f>IF($F69="","",INDEX(KPI!$I$11:$I$275,SUMIFS(KPI!$E$11:$E$275,KPI!$F$11:$F$275,$F69)))</f>
        <v>тыс.руб.</v>
      </c>
      <c r="K69" s="3"/>
      <c r="L69" s="3"/>
      <c r="M69" s="33">
        <f t="shared" ref="M69" si="22">SUM(O69:Z69)</f>
        <v>107416.9627456286</v>
      </c>
      <c r="N69" s="3"/>
      <c r="O69" s="3"/>
      <c r="P69" s="33">
        <f>SUMIFS(monthly!$197:$197,monthly!$9:$9,"&gt;="&amp;P$8,monthly!$9:$9,"&lt;="&amp;P$9)</f>
        <v>1013.0281996256065</v>
      </c>
      <c r="Q69" s="33">
        <f>SUMIFS(monthly!$197:$197,monthly!$9:$9,"&gt;="&amp;Q$8,monthly!$9:$9,"&lt;="&amp;Q$9)</f>
        <v>7659.0468104444153</v>
      </c>
      <c r="R69" s="33">
        <f>SUMIFS(monthly!$197:$197,monthly!$9:$9,"&gt;="&amp;R$8,monthly!$9:$9,"&lt;="&amp;R$9)</f>
        <v>14529.387360194989</v>
      </c>
      <c r="S69" s="33">
        <f>SUMIFS(monthly!$197:$197,monthly!$9:$9,"&gt;="&amp;S$8,monthly!$9:$9,"&lt;="&amp;S$9)</f>
        <v>21939.44669588983</v>
      </c>
      <c r="T69" s="33">
        <f>SUMIFS(monthly!$197:$197,monthly!$9:$9,"&gt;="&amp;T$8,monthly!$9:$9,"&lt;="&amp;T$9)</f>
        <v>25250.302880702533</v>
      </c>
      <c r="U69" s="33">
        <f>SUMIFS(monthly!$197:$197,monthly!$9:$9,"&gt;="&amp;U$8,monthly!$9:$9,"&lt;="&amp;U$9)</f>
        <v>21949.087046621404</v>
      </c>
      <c r="V69" s="33">
        <f>SUMIFS(monthly!$197:$197,monthly!$9:$9,"&gt;="&amp;V$8,monthly!$9:$9,"&lt;="&amp;V$9)</f>
        <v>13677.423324019832</v>
      </c>
      <c r="W69" s="33">
        <f>SUMIFS(monthly!$197:$197,monthly!$9:$9,"&gt;="&amp;W$8,monthly!$9:$9,"&lt;="&amp;W$9)</f>
        <v>1399.2404281299953</v>
      </c>
      <c r="X69" s="33">
        <f>SUMIFS(monthly!$197:$197,monthly!$9:$9,"&gt;="&amp;X$8,monthly!$9:$9,"&lt;="&amp;X$9)</f>
        <v>0</v>
      </c>
      <c r="Y69" s="33">
        <f>SUMIFS(monthly!$197:$197,monthly!$9:$9,"&gt;="&amp;Y$8,monthly!$9:$9,"&lt;="&amp;Y$9)</f>
        <v>0</v>
      </c>
      <c r="Z69" s="3"/>
      <c r="AA69" s="3"/>
    </row>
    <row r="70" spans="1:27" s="93" customFormat="1" ht="6.6" x14ac:dyDescent="0.15">
      <c r="A70" s="90"/>
      <c r="B70" s="90"/>
      <c r="C70" s="90"/>
      <c r="D70" s="90"/>
      <c r="E70" s="91"/>
      <c r="F70" s="90"/>
      <c r="G70" s="90"/>
      <c r="H70" s="90"/>
      <c r="I70" s="90"/>
      <c r="J70" s="90"/>
      <c r="K70" s="90"/>
      <c r="L70" s="90"/>
      <c r="M70" s="92"/>
      <c r="N70" s="90"/>
      <c r="O70" s="90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0"/>
      <c r="AA70" s="90"/>
    </row>
    <row r="71" spans="1:27" s="66" customFormat="1" ht="13.8" x14ac:dyDescent="0.3">
      <c r="A71" s="65"/>
      <c r="B71" s="65"/>
      <c r="C71" s="65"/>
      <c r="D71" s="65"/>
      <c r="E71" s="72"/>
      <c r="F71" s="85" t="str">
        <f>KPI!$F$151</f>
        <v>NOPAT до учета налога на прибыль</v>
      </c>
      <c r="G71" s="65"/>
      <c r="H71" s="65"/>
      <c r="I71" s="65"/>
      <c r="J71" s="85" t="str">
        <f>IF($F71="","",INDEX(KPI!$I$11:$I$275,SUMIFS(KPI!$E$11:$E$275,KPI!$F$11:$F$275,$F71)))</f>
        <v>тыс.руб.</v>
      </c>
      <c r="K71" s="65"/>
      <c r="L71" s="65"/>
      <c r="M71" s="88">
        <f>SUM(O71:Z71)</f>
        <v>764389.66066502081</v>
      </c>
      <c r="N71" s="65"/>
      <c r="O71" s="65"/>
      <c r="P71" s="88">
        <f>P67-P69</f>
        <v>-33333.870845397592</v>
      </c>
      <c r="Q71" s="88">
        <f t="shared" ref="Q71:Y71" si="23">Q67-Q69</f>
        <v>-60240.858604837653</v>
      </c>
      <c r="R71" s="88">
        <f t="shared" si="23"/>
        <v>-51671.86462962821</v>
      </c>
      <c r="S71" s="88">
        <f t="shared" si="23"/>
        <v>-26792.98741489977</v>
      </c>
      <c r="T71" s="88">
        <f t="shared" si="23"/>
        <v>29520.822190083622</v>
      </c>
      <c r="U71" s="88">
        <f t="shared" si="23"/>
        <v>81294.950219096238</v>
      </c>
      <c r="V71" s="88">
        <f t="shared" si="23"/>
        <v>157971.7178633819</v>
      </c>
      <c r="W71" s="88">
        <f t="shared" si="23"/>
        <v>211878.30200287476</v>
      </c>
      <c r="X71" s="88">
        <f t="shared" si="23"/>
        <v>222096.66968414173</v>
      </c>
      <c r="Y71" s="88">
        <f t="shared" si="23"/>
        <v>233666.78020020571</v>
      </c>
      <c r="Z71" s="65"/>
      <c r="AA71" s="65"/>
    </row>
    <row r="72" spans="1:27" s="93" customFormat="1" ht="6.6" x14ac:dyDescent="0.15">
      <c r="A72" s="90"/>
      <c r="B72" s="90"/>
      <c r="C72" s="90"/>
      <c r="D72" s="90"/>
      <c r="E72" s="91"/>
      <c r="F72" s="96"/>
      <c r="G72" s="90"/>
      <c r="H72" s="90"/>
      <c r="I72" s="90"/>
      <c r="J72" s="96"/>
      <c r="K72" s="90"/>
      <c r="L72" s="90"/>
      <c r="M72" s="97"/>
      <c r="N72" s="90"/>
      <c r="O72" s="90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0"/>
      <c r="AA72" s="90"/>
    </row>
    <row r="73" spans="1:27" x14ac:dyDescent="0.25">
      <c r="A73" s="3"/>
      <c r="B73" s="3"/>
      <c r="C73" s="3"/>
      <c r="D73" s="3"/>
      <c r="E73" s="55">
        <v>1</v>
      </c>
      <c r="F73" s="64" t="str">
        <f>KPI!$F$153</f>
        <v>Налог на прибыль</v>
      </c>
      <c r="G73" s="3"/>
      <c r="H73" s="3"/>
      <c r="I73" s="3"/>
      <c r="J73" s="3" t="str">
        <f>IF($F73="","",INDEX(KPI!$I$11:$I$275,SUMIFS(KPI!$E$11:$E$275,KPI!$F$11:$F$275,$F73)))</f>
        <v>тыс.руб.</v>
      </c>
      <c r="K73" s="3"/>
      <c r="L73" s="3"/>
      <c r="M73" s="33">
        <f t="shared" ref="M73" si="24">SUM(O73:Z73)</f>
        <v>187285.84843195678</v>
      </c>
      <c r="N73" s="3"/>
      <c r="O73" s="3"/>
      <c r="P73" s="33">
        <f>IF(P71&gt;0,P71*SUMIFS(условия!$180:$180,условия!$8:$8,P$8),0)</f>
        <v>0</v>
      </c>
      <c r="Q73" s="33">
        <f>IF(Q71&gt;0,Q71*SUMIFS(условия!$180:$180,условия!$8:$8,Q$8),0)</f>
        <v>0</v>
      </c>
      <c r="R73" s="33">
        <f>IF(R71&gt;0,R71*SUMIFS(условия!$180:$180,условия!$8:$8,R$8),0)</f>
        <v>0</v>
      </c>
      <c r="S73" s="33">
        <f>IF(S71&gt;0,S71*SUMIFS(условия!$180:$180,условия!$8:$8,S$8),0)</f>
        <v>0</v>
      </c>
      <c r="T73" s="33">
        <f>IF(T71&gt;0,T71*SUMIFS(условия!$180:$180,условия!$8:$8,T$8),0)</f>
        <v>5904.1644380167245</v>
      </c>
      <c r="U73" s="33">
        <f>IF(U71&gt;0,U71*SUMIFS(условия!$180:$180,условия!$8:$8,U$8),0)</f>
        <v>16258.990043819249</v>
      </c>
      <c r="V73" s="33">
        <f>IF(V71&gt;0,V71*SUMIFS(условия!$180:$180,условия!$8:$8,V$8),0)</f>
        <v>31594.343572676382</v>
      </c>
      <c r="W73" s="33">
        <f>IF(W71&gt;0,W71*SUMIFS(условия!$180:$180,условия!$8:$8,W$8),0)</f>
        <v>42375.660400574954</v>
      </c>
      <c r="X73" s="33">
        <f>IF(X71&gt;0,X71*SUMIFS(условия!$180:$180,условия!$8:$8,X$8),0)</f>
        <v>44419.333936828349</v>
      </c>
      <c r="Y73" s="33">
        <f>IF(Y71&gt;0,Y71*SUMIFS(условия!$180:$180,условия!$8:$8,Y$8),0)</f>
        <v>46733.356040041144</v>
      </c>
      <c r="Z73" s="3"/>
      <c r="AA73" s="3"/>
    </row>
    <row r="74" spans="1:27" s="93" customFormat="1" ht="6.6" x14ac:dyDescent="0.15">
      <c r="A74" s="90"/>
      <c r="B74" s="90"/>
      <c r="C74" s="90"/>
      <c r="D74" s="90"/>
      <c r="E74" s="91"/>
      <c r="F74" s="90"/>
      <c r="G74" s="90"/>
      <c r="H74" s="90"/>
      <c r="I74" s="90"/>
      <c r="J74" s="90"/>
      <c r="K74" s="90"/>
      <c r="L74" s="90"/>
      <c r="M74" s="92"/>
      <c r="N74" s="90"/>
      <c r="O74" s="90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0"/>
      <c r="AA74" s="90"/>
    </row>
    <row r="75" spans="1:27" s="66" customFormat="1" ht="13.8" x14ac:dyDescent="0.3">
      <c r="A75" s="65"/>
      <c r="B75" s="65"/>
      <c r="C75" s="65"/>
      <c r="D75" s="65"/>
      <c r="E75" s="72"/>
      <c r="F75" s="85" t="str">
        <f>KPI!$F$154</f>
        <v>NOPAT - "чистая прибыль"</v>
      </c>
      <c r="G75" s="65"/>
      <c r="H75" s="65"/>
      <c r="I75" s="65"/>
      <c r="J75" s="85" t="str">
        <f>IF($F75="","",INDEX(KPI!$I$11:$I$275,SUMIFS(KPI!$E$11:$E$275,KPI!$F$11:$F$275,$F75)))</f>
        <v>тыс.руб.</v>
      </c>
      <c r="K75" s="65"/>
      <c r="L75" s="65"/>
      <c r="M75" s="88">
        <f>SUM(O75:Z75)</f>
        <v>577103.81223306397</v>
      </c>
      <c r="N75" s="65"/>
      <c r="O75" s="65"/>
      <c r="P75" s="88">
        <f>P71-P73</f>
        <v>-33333.870845397592</v>
      </c>
      <c r="Q75" s="88">
        <f t="shared" ref="Q75:Y75" si="25">Q71-Q73</f>
        <v>-60240.858604837653</v>
      </c>
      <c r="R75" s="88">
        <f t="shared" si="25"/>
        <v>-51671.86462962821</v>
      </c>
      <c r="S75" s="88">
        <f t="shared" si="25"/>
        <v>-26792.98741489977</v>
      </c>
      <c r="T75" s="88">
        <f t="shared" si="25"/>
        <v>23616.657752066898</v>
      </c>
      <c r="U75" s="88">
        <f t="shared" si="25"/>
        <v>65035.960175276989</v>
      </c>
      <c r="V75" s="88">
        <f t="shared" si="25"/>
        <v>126377.37429070551</v>
      </c>
      <c r="W75" s="88">
        <f t="shared" si="25"/>
        <v>169502.64160229982</v>
      </c>
      <c r="X75" s="88">
        <f t="shared" si="25"/>
        <v>177677.33574731339</v>
      </c>
      <c r="Y75" s="88">
        <f t="shared" si="25"/>
        <v>186933.42416016458</v>
      </c>
      <c r="Z75" s="65"/>
      <c r="AA75" s="65"/>
    </row>
    <row r="76" spans="1:27" s="93" customFormat="1" ht="6.6" x14ac:dyDescent="0.15">
      <c r="A76" s="90"/>
      <c r="B76" s="90"/>
      <c r="C76" s="90"/>
      <c r="D76" s="90"/>
      <c r="E76" s="91"/>
      <c r="F76" s="96"/>
      <c r="G76" s="90"/>
      <c r="H76" s="90"/>
      <c r="I76" s="90"/>
      <c r="J76" s="96"/>
      <c r="K76" s="90"/>
      <c r="L76" s="90"/>
      <c r="M76" s="97"/>
      <c r="N76" s="90"/>
      <c r="O76" s="90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0"/>
      <c r="AA76" s="90"/>
    </row>
    <row r="77" spans="1:27" x14ac:dyDescent="0.25">
      <c r="A77" s="3"/>
      <c r="B77" s="3"/>
      <c r="C77" s="3"/>
      <c r="D77" s="3"/>
      <c r="E77" s="55">
        <v>1</v>
      </c>
      <c r="F77" s="64" t="str">
        <f>KPI!$F$149</f>
        <v>Начисление %WACC по инвестициям</v>
      </c>
      <c r="G77" s="3"/>
      <c r="H77" s="3"/>
      <c r="I77" s="3"/>
      <c r="J77" s="3" t="str">
        <f>IF($F77="","",INDEX(KPI!$I$11:$I$275,SUMIFS(KPI!$E$11:$E$275,KPI!$F$11:$F$275,$F77)))</f>
        <v>тыс.руб.</v>
      </c>
      <c r="K77" s="3"/>
      <c r="L77" s="3"/>
      <c r="M77" s="33">
        <f t="shared" ref="M77" si="26">SUM(O77:Z77)</f>
        <v>82674.020821079655</v>
      </c>
      <c r="N77" s="3"/>
      <c r="O77" s="3"/>
      <c r="P77" s="33">
        <f>SUMIFS(monthly!$141:$141,monthly!$9:$9,"&gt;="&amp;P$8,monthly!$9:$9,"&lt;="&amp;P$9)</f>
        <v>3484.0053763440869</v>
      </c>
      <c r="Q77" s="33">
        <f>SUMIFS(monthly!$141:$141,monthly!$9:$9,"&gt;="&amp;Q$8,monthly!$9:$9,"&lt;="&amp;Q$9)</f>
        <v>4900.0000000000009</v>
      </c>
      <c r="R77" s="33">
        <f>SUMIFS(monthly!$141:$141,monthly!$9:$9,"&gt;="&amp;R$8,monthly!$9:$9,"&lt;="&amp;R$9)</f>
        <v>4900.0000000000009</v>
      </c>
      <c r="S77" s="33">
        <f>SUMIFS(monthly!$141:$141,monthly!$9:$9,"&gt;="&amp;S$8,monthly!$9:$9,"&lt;="&amp;S$9)</f>
        <v>4900.0000000000009</v>
      </c>
      <c r="T77" s="33">
        <f>SUMIFS(monthly!$141:$141,monthly!$9:$9,"&gt;="&amp;T$8,monthly!$9:$9,"&lt;="&amp;T$9)</f>
        <v>6211.0597894201628</v>
      </c>
      <c r="U77" s="33">
        <f>SUMIFS(monthly!$141:$141,monthly!$9:$9,"&gt;="&amp;U$8,monthly!$9:$9,"&lt;="&amp;U$9)</f>
        <v>9354.0113394000018</v>
      </c>
      <c r="V77" s="33">
        <f>SUMIFS(monthly!$141:$141,monthly!$9:$9,"&gt;="&amp;V$8,monthly!$9:$9,"&lt;="&amp;V$9)</f>
        <v>9354.0113394000018</v>
      </c>
      <c r="W77" s="33">
        <f>SUMIFS(monthly!$141:$141,monthly!$9:$9,"&gt;="&amp;W$8,monthly!$9:$9,"&lt;="&amp;W$9)</f>
        <v>10353.403301720733</v>
      </c>
      <c r="X77" s="33">
        <f>SUMIFS(monthly!$141:$141,monthly!$9:$9,"&gt;="&amp;X$8,monthly!$9:$9,"&lt;="&amp;X$9)</f>
        <v>14608.764837397341</v>
      </c>
      <c r="Y77" s="33">
        <f>SUMIFS(monthly!$141:$141,monthly!$9:$9,"&gt;="&amp;Y$8,monthly!$9:$9,"&lt;="&amp;Y$9)</f>
        <v>14608.764837397341</v>
      </c>
      <c r="Z77" s="3"/>
      <c r="AA77" s="3"/>
    </row>
    <row r="78" spans="1:27" s="93" customFormat="1" ht="6.6" x14ac:dyDescent="0.15">
      <c r="A78" s="90"/>
      <c r="B78" s="90"/>
      <c r="C78" s="90"/>
      <c r="D78" s="90"/>
      <c r="E78" s="91"/>
      <c r="F78" s="90"/>
      <c r="G78" s="90"/>
      <c r="H78" s="90"/>
      <c r="I78" s="90"/>
      <c r="J78" s="90"/>
      <c r="K78" s="90"/>
      <c r="L78" s="90"/>
      <c r="M78" s="92"/>
      <c r="N78" s="90"/>
      <c r="O78" s="90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0"/>
      <c r="AA78" s="90"/>
    </row>
    <row r="79" spans="1:27" s="66" customFormat="1" ht="14.4" thickBot="1" x14ac:dyDescent="0.35">
      <c r="A79" s="65"/>
      <c r="B79" s="65"/>
      <c r="C79" s="65"/>
      <c r="D79" s="65"/>
      <c r="E79" s="72"/>
      <c r="F79" s="83" t="str">
        <f>KPI!$F$264</f>
        <v>EVA - экономическая добавленная стоимость</v>
      </c>
      <c r="G79" s="65"/>
      <c r="H79" s="65"/>
      <c r="I79" s="65"/>
      <c r="J79" s="83" t="str">
        <f>IF($F79="","",INDEX(KPI!$I$11:$I$275,SUMIFS(KPI!$E$11:$E$275,KPI!$F$11:$F$275,$F79)))</f>
        <v>тыс.руб.</v>
      </c>
      <c r="K79" s="65"/>
      <c r="L79" s="65"/>
      <c r="M79" s="84">
        <f>SUM(O79:Z79)</f>
        <v>494429.7914119843</v>
      </c>
      <c r="N79" s="65"/>
      <c r="O79" s="65"/>
      <c r="P79" s="84">
        <f>P75-P77</f>
        <v>-36817.876221741681</v>
      </c>
      <c r="Q79" s="84">
        <f t="shared" ref="Q79:Y79" si="27">Q75-Q77</f>
        <v>-65140.858604837653</v>
      </c>
      <c r="R79" s="84">
        <f t="shared" si="27"/>
        <v>-56571.86462962821</v>
      </c>
      <c r="S79" s="84">
        <f t="shared" si="27"/>
        <v>-31692.98741489977</v>
      </c>
      <c r="T79" s="84">
        <f t="shared" si="27"/>
        <v>17405.597962646734</v>
      </c>
      <c r="U79" s="84">
        <f t="shared" si="27"/>
        <v>55681.948835876989</v>
      </c>
      <c r="V79" s="84">
        <f t="shared" si="27"/>
        <v>117023.36295130551</v>
      </c>
      <c r="W79" s="84">
        <f t="shared" si="27"/>
        <v>159149.23830057908</v>
      </c>
      <c r="X79" s="84">
        <f t="shared" si="27"/>
        <v>163068.57090991604</v>
      </c>
      <c r="Y79" s="84">
        <f t="shared" si="27"/>
        <v>172324.65932276723</v>
      </c>
      <c r="Z79" s="65"/>
      <c r="AA79" s="65"/>
    </row>
    <row r="80" spans="1:27" s="93" customFormat="1" ht="7.2" thickTop="1" x14ac:dyDescent="0.15">
      <c r="A80" s="90"/>
      <c r="B80" s="90"/>
      <c r="C80" s="90"/>
      <c r="D80" s="90"/>
      <c r="E80" s="91"/>
      <c r="F80" s="94"/>
      <c r="G80" s="90"/>
      <c r="H80" s="90"/>
      <c r="I80" s="90"/>
      <c r="J80" s="94"/>
      <c r="K80" s="90"/>
      <c r="L80" s="90"/>
      <c r="M80" s="95"/>
      <c r="N80" s="90"/>
      <c r="O80" s="90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0"/>
      <c r="AA80" s="90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3"/>
      <c r="L83" s="3"/>
      <c r="M83" s="33"/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  <row r="84" spans="1:27" x14ac:dyDescent="0.25">
      <c r="A84" s="3"/>
      <c r="B84" s="3"/>
      <c r="C84" s="3"/>
      <c r="D84" s="3"/>
      <c r="E84" s="55"/>
      <c r="F84" s="3"/>
      <c r="G84" s="3"/>
      <c r="H84" s="3"/>
      <c r="I84" s="3"/>
      <c r="J84" s="3"/>
      <c r="K84" s="3"/>
      <c r="L84" s="3"/>
      <c r="M84" s="33"/>
      <c r="N84" s="3"/>
      <c r="O84" s="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"/>
      <c r="AA84" s="3"/>
    </row>
    <row r="85" spans="1:27" x14ac:dyDescent="0.25">
      <c r="A85" s="3"/>
      <c r="B85" s="3"/>
      <c r="C85" s="3"/>
      <c r="D85" s="3"/>
      <c r="E85" s="55"/>
      <c r="F85" s="3"/>
      <c r="G85" s="3"/>
      <c r="H85" s="3"/>
      <c r="I85" s="3"/>
      <c r="J85" s="3"/>
      <c r="K85" s="3"/>
      <c r="L85" s="3"/>
      <c r="M85" s="33"/>
      <c r="N85" s="3"/>
      <c r="O85" s="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"/>
      <c r="AA85" s="3"/>
    </row>
    <row r="86" spans="1:27" x14ac:dyDescent="0.25">
      <c r="A86" s="3"/>
      <c r="B86" s="3"/>
      <c r="C86" s="3"/>
      <c r="D86" s="3"/>
      <c r="E86" s="55"/>
      <c r="F86" s="3"/>
      <c r="G86" s="3"/>
      <c r="H86" s="3"/>
      <c r="I86" s="3"/>
      <c r="J86" s="3"/>
      <c r="K86" s="3"/>
      <c r="L86" s="3"/>
      <c r="M86" s="33"/>
      <c r="N86" s="3"/>
      <c r="O86" s="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"/>
      <c r="AA86" s="3"/>
    </row>
    <row r="87" spans="1:27" x14ac:dyDescent="0.25">
      <c r="A87" s="3"/>
      <c r="B87" s="3"/>
      <c r="C87" s="3"/>
      <c r="D87" s="3"/>
      <c r="E87" s="55"/>
      <c r="F87" s="3"/>
      <c r="G87" s="3"/>
      <c r="H87" s="3"/>
      <c r="I87" s="3"/>
      <c r="J87" s="3"/>
      <c r="K87" s="3"/>
      <c r="L87" s="3"/>
      <c r="M87" s="33"/>
      <c r="N87" s="3"/>
      <c r="O87" s="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"/>
      <c r="AA87" s="3"/>
    </row>
    <row r="88" spans="1:27" x14ac:dyDescent="0.25">
      <c r="A88" s="3"/>
      <c r="B88" s="3"/>
      <c r="C88" s="3"/>
      <c r="D88" s="3"/>
      <c r="E88" s="55"/>
      <c r="F88" s="3"/>
      <c r="G88" s="3"/>
      <c r="H88" s="3"/>
      <c r="I88" s="3"/>
      <c r="J88" s="3"/>
      <c r="K88" s="3"/>
      <c r="L88" s="3"/>
      <c r="M88" s="33"/>
      <c r="N88" s="3"/>
      <c r="O88" s="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"/>
      <c r="AA88" s="3"/>
    </row>
    <row r="89" spans="1:27" x14ac:dyDescent="0.25">
      <c r="A89" s="3"/>
      <c r="B89" s="3"/>
      <c r="C89" s="3"/>
      <c r="D89" s="3"/>
      <c r="E89" s="55"/>
      <c r="F89" s="3"/>
      <c r="G89" s="3"/>
      <c r="H89" s="3"/>
      <c r="I89" s="3"/>
      <c r="J89" s="3"/>
      <c r="K89" s="3"/>
      <c r="L89" s="3"/>
      <c r="M89" s="33"/>
      <c r="N89" s="3"/>
      <c r="O89" s="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"/>
      <c r="AA89" s="3"/>
    </row>
  </sheetData>
  <conditionalFormatting sqref="P8:Y9">
    <cfRule type="containsBlanks" dxfId="406" priority="56">
      <formula>LEN(TRIM(P8))=0</formula>
    </cfRule>
  </conditionalFormatting>
  <conditionalFormatting sqref="M63 P63:Y63">
    <cfRule type="cellIs" dxfId="405" priority="5" operator="lessThan">
      <formula>0</formula>
    </cfRule>
    <cfRule type="cellIs" dxfId="404" priority="6" operator="greaterThanOrEqual">
      <formula>0</formula>
    </cfRule>
  </conditionalFormatting>
  <conditionalFormatting sqref="M79 P79:Y79">
    <cfRule type="cellIs" dxfId="403" priority="1" operator="lessThan">
      <formula>0</formula>
    </cfRule>
    <cfRule type="cellIs" dxfId="402" priority="2" operator="greaterThanOr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66"/>
  <sheetViews>
    <sheetView showGridLines="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5" sqref="B5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оглавление!$F$37</f>
        <v>ФУНКЦИОНАЛЬНЫЙ P&amp;L (отчет о прибылях и убытках)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2021г.</v>
      </c>
      <c r="Q7" s="25" t="str">
        <f>IF(условия!U7="","",условия!U7)</f>
        <v>2022г.</v>
      </c>
      <c r="R7" s="25" t="str">
        <f>IF(условия!V7="","",условия!V7)</f>
        <v>2023г.</v>
      </c>
      <c r="S7" s="25" t="str">
        <f>IF(условия!W7="","",условия!W7)</f>
        <v>2024г.</v>
      </c>
      <c r="T7" s="25" t="str">
        <f>IF(условия!X7="","",условия!X7)</f>
        <v>2025г.</v>
      </c>
      <c r="U7" s="25" t="str">
        <f>IF(условия!Y7="","",условия!Y7)</f>
        <v>2026г.</v>
      </c>
      <c r="V7" s="25" t="str">
        <f>IF(условия!Z7="","",условия!Z7)</f>
        <v>2027г.</v>
      </c>
      <c r="W7" s="25" t="str">
        <f>IF(условия!AA7="","",условия!AA7)</f>
        <v>2028г.</v>
      </c>
      <c r="X7" s="25" t="str">
        <f>IF(условия!AB7="","",условия!AB7)</f>
        <v>2029г.</v>
      </c>
      <c r="Y7" s="25" t="str">
        <f>IF(условия!AC7="","",условия!AC7)</f>
        <v>2030г.</v>
      </c>
      <c r="Z7" s="3"/>
      <c r="AA7" s="3"/>
    </row>
    <row r="8" spans="1:27" x14ac:dyDescent="0.25">
      <c r="A8" s="3"/>
      <c r="B8" s="3"/>
      <c r="C8" s="171">
        <f>BS!$C$8</f>
        <v>4.6566128730773926E-10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>
        <f>IF(условия!T8="","",условия!T8)</f>
        <v>44197</v>
      </c>
      <c r="Q8" s="24">
        <f>IF(условия!U8="","",условия!U8)</f>
        <v>44562</v>
      </c>
      <c r="R8" s="24">
        <f>IF(условия!V8="","",условия!V8)</f>
        <v>44927</v>
      </c>
      <c r="S8" s="24">
        <f>IF(условия!W8="","",условия!W8)</f>
        <v>45292</v>
      </c>
      <c r="T8" s="24">
        <f>IF(условия!X8="","",условия!X8)</f>
        <v>45658</v>
      </c>
      <c r="U8" s="24">
        <f>IF(условия!Y8="","",условия!Y8)</f>
        <v>46023</v>
      </c>
      <c r="V8" s="24">
        <f>IF(условия!Z8="","",условия!Z8)</f>
        <v>46388</v>
      </c>
      <c r="W8" s="24">
        <f>IF(условия!AA8="","",условия!AA8)</f>
        <v>46753</v>
      </c>
      <c r="X8" s="24">
        <f>IF(условия!AB8="","",условия!AB8)</f>
        <v>47119</v>
      </c>
      <c r="Y8" s="24">
        <f>IF(условия!AC8="","",условия!AC8)</f>
        <v>47484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>
        <f>IF(условия!T9="","",условия!T9)</f>
        <v>44561</v>
      </c>
      <c r="Q9" s="61">
        <f>IF(условия!U9="","",условия!U9)</f>
        <v>44926</v>
      </c>
      <c r="R9" s="61">
        <f>IF(условия!V9="","",условия!V9)</f>
        <v>45291</v>
      </c>
      <c r="S9" s="61">
        <f>IF(условия!W9="","",условия!W9)</f>
        <v>45657</v>
      </c>
      <c r="T9" s="61">
        <f>IF(условия!X9="","",условия!X9)</f>
        <v>46022</v>
      </c>
      <c r="U9" s="61">
        <f>IF(условия!Y9="","",условия!Y9)</f>
        <v>46387</v>
      </c>
      <c r="V9" s="61">
        <f>IF(условия!Z9="","",условия!Z9)</f>
        <v>46752</v>
      </c>
      <c r="W9" s="61">
        <f>IF(условия!AA9="","",условия!AA9)</f>
        <v>47118</v>
      </c>
      <c r="X9" s="61">
        <f>IF(условия!AB9="","",условия!AB9)</f>
        <v>47483</v>
      </c>
      <c r="Y9" s="61">
        <f>IF(условия!AC9="","",условия!AC9)</f>
        <v>47848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77" customFormat="1" ht="15" thickBot="1" x14ac:dyDescent="0.35">
      <c r="A12" s="75"/>
      <c r="B12" s="75"/>
      <c r="C12" s="75"/>
      <c r="D12" s="75"/>
      <c r="E12" s="76"/>
      <c r="F12" s="78" t="str">
        <f>KPI!$F$124</f>
        <v>Выручка</v>
      </c>
      <c r="G12" s="75"/>
      <c r="H12" s="75"/>
      <c r="I12" s="75"/>
      <c r="J12" s="78" t="str">
        <f>IF($F12="","",INDEX(KPI!$I$11:$I$275,SUMIFS(KPI!$E$11:$E$275,KPI!$F$11:$F$275,$F12)))</f>
        <v>тыс.руб.</v>
      </c>
      <c r="K12" s="75"/>
      <c r="L12" s="75"/>
      <c r="M12" s="79">
        <f>SUM(O12:Z12)</f>
        <v>9647163.0100776479</v>
      </c>
      <c r="N12" s="75"/>
      <c r="O12" s="75"/>
      <c r="P12" s="79">
        <f>PL_m!P12</f>
        <v>10896.422500000001</v>
      </c>
      <c r="Q12" s="79">
        <f>PL_m!Q12</f>
        <v>62713.461887999998</v>
      </c>
      <c r="R12" s="79">
        <f>PL_m!R12</f>
        <v>183592.47871999998</v>
      </c>
      <c r="S12" s="79">
        <f>PL_m!S12</f>
        <v>384970.4788160001</v>
      </c>
      <c r="T12" s="79">
        <f>PL_m!T12</f>
        <v>774340.62024704006</v>
      </c>
      <c r="U12" s="79">
        <f>PL_m!U12</f>
        <v>1103049.1765708802</v>
      </c>
      <c r="V12" s="79">
        <f>PL_m!V12</f>
        <v>1465147.7309323007</v>
      </c>
      <c r="W12" s="79">
        <f>PL_m!W12</f>
        <v>1726562.044592985</v>
      </c>
      <c r="X12" s="79">
        <f>PL_m!X12</f>
        <v>1933755.9051896865</v>
      </c>
      <c r="Y12" s="79">
        <f>PL_m!Y12</f>
        <v>2002134.6906207558</v>
      </c>
      <c r="Z12" s="75"/>
      <c r="AA12" s="75"/>
    </row>
    <row r="13" spans="1:27" s="93" customFormat="1" ht="7.2" thickTop="1" x14ac:dyDescent="0.15">
      <c r="A13" s="90"/>
      <c r="B13" s="90"/>
      <c r="C13" s="90"/>
      <c r="D13" s="90"/>
      <c r="E13" s="91"/>
      <c r="F13" s="94"/>
      <c r="G13" s="90"/>
      <c r="H13" s="90"/>
      <c r="I13" s="90"/>
      <c r="J13" s="94"/>
      <c r="K13" s="90"/>
      <c r="L13" s="90"/>
      <c r="M13" s="95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KPI!$F$125</f>
        <v>Себестоимость</v>
      </c>
      <c r="G14" s="3"/>
      <c r="H14" s="3"/>
      <c r="I14" s="3"/>
      <c r="J14" s="81" t="str">
        <f>IF($F14="","",INDEX(KPI!$I$11:$I$275,SUMIFS(KPI!$E$11:$E$275,KPI!$F$11:$F$275,$F14)))</f>
        <v>тыс.руб.</v>
      </c>
      <c r="K14" s="3"/>
      <c r="L14" s="3"/>
      <c r="M14" s="82">
        <f>SUM(O14:Z14)</f>
        <v>6887508.4659446795</v>
      </c>
      <c r="N14" s="3"/>
      <c r="O14" s="3"/>
      <c r="P14" s="82">
        <f>PL_m!P14</f>
        <v>9204.9691629232184</v>
      </c>
      <c r="Q14" s="82">
        <f>PL_m!Q14</f>
        <v>49255.902716490331</v>
      </c>
      <c r="R14" s="82">
        <f>PL_m!R14</f>
        <v>137829.52331728951</v>
      </c>
      <c r="S14" s="82">
        <f>PL_m!S14</f>
        <v>278564.35240362718</v>
      </c>
      <c r="T14" s="82">
        <f>PL_m!T14</f>
        <v>558557.84313944622</v>
      </c>
      <c r="U14" s="82">
        <f>PL_m!U14</f>
        <v>779410.1126108059</v>
      </c>
      <c r="V14" s="82">
        <f>PL_m!V14</f>
        <v>1034232.5381673254</v>
      </c>
      <c r="W14" s="82">
        <f>PL_m!W14</f>
        <v>1228379.229037971</v>
      </c>
      <c r="X14" s="82">
        <f>PL_m!X14</f>
        <v>1379361.635833001</v>
      </c>
      <c r="Y14" s="82">
        <f>PL_m!Y14</f>
        <v>1432712.3595558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66" customFormat="1" ht="14.4" thickBot="1" x14ac:dyDescent="0.35">
      <c r="A16" s="65"/>
      <c r="B16" s="65"/>
      <c r="C16" s="65"/>
      <c r="D16" s="65"/>
      <c r="E16" s="72"/>
      <c r="F16" s="83" t="str">
        <f>KPI!$F$126</f>
        <v>Валовая прибыль</v>
      </c>
      <c r="G16" s="65"/>
      <c r="H16" s="65"/>
      <c r="I16" s="65"/>
      <c r="J16" s="83" t="str">
        <f>IF($F16="","",INDEX(KPI!$I$11:$I$275,SUMIFS(KPI!$E$11:$E$275,KPI!$F$11:$F$275,$F16)))</f>
        <v>тыс.руб.</v>
      </c>
      <c r="K16" s="65"/>
      <c r="L16" s="65"/>
      <c r="M16" s="84">
        <f>SUM(O16:Z16)</f>
        <v>2759654.5441329684</v>
      </c>
      <c r="N16" s="65"/>
      <c r="O16" s="65"/>
      <c r="P16" s="84">
        <f>P12-P14</f>
        <v>1691.4533370767822</v>
      </c>
      <c r="Q16" s="84">
        <f t="shared" ref="Q16:Y16" si="1">Q12-Q14</f>
        <v>13457.559171509667</v>
      </c>
      <c r="R16" s="84">
        <f t="shared" si="1"/>
        <v>45762.955402710475</v>
      </c>
      <c r="S16" s="84">
        <f t="shared" si="1"/>
        <v>106406.12641237292</v>
      </c>
      <c r="T16" s="84">
        <f t="shared" si="1"/>
        <v>215782.77710759384</v>
      </c>
      <c r="U16" s="84">
        <f t="shared" si="1"/>
        <v>323639.06396007433</v>
      </c>
      <c r="V16" s="84">
        <f t="shared" si="1"/>
        <v>430915.19276497525</v>
      </c>
      <c r="W16" s="84">
        <f t="shared" si="1"/>
        <v>498182.81555501395</v>
      </c>
      <c r="X16" s="84">
        <f t="shared" si="1"/>
        <v>554394.26935668546</v>
      </c>
      <c r="Y16" s="84">
        <f t="shared" si="1"/>
        <v>569422.3310649558</v>
      </c>
      <c r="Z16" s="65"/>
      <c r="AA16" s="6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KPI!$F$198</f>
        <v>Операционные расходы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:M19" si="2">SUM(O18:Z18)</f>
        <v>1788618.2510628421</v>
      </c>
      <c r="N18" s="65"/>
      <c r="O18" s="65"/>
      <c r="P18" s="88">
        <f t="shared" ref="P18:Y18" si="3">SUMIFS(P$19:P$39,$E$19:$E$39,1)</f>
        <v>29637.295982848766</v>
      </c>
      <c r="Q18" s="88">
        <f t="shared" si="3"/>
        <v>60206.037632569562</v>
      </c>
      <c r="R18" s="88">
        <f t="shared" si="3"/>
        <v>77072.099338810367</v>
      </c>
      <c r="S18" s="88">
        <f t="shared" si="3"/>
        <v>105426.33379804953</v>
      </c>
      <c r="T18" s="88">
        <f t="shared" si="3"/>
        <v>153410.85388625209</v>
      </c>
      <c r="U18" s="88">
        <f t="shared" si="3"/>
        <v>209259.29890935667</v>
      </c>
      <c r="V18" s="88">
        <f t="shared" si="3"/>
        <v>248130.32379257353</v>
      </c>
      <c r="W18" s="88">
        <f t="shared" si="3"/>
        <v>272205.63060746231</v>
      </c>
      <c r="X18" s="88">
        <f t="shared" si="3"/>
        <v>314906.21296135639</v>
      </c>
      <c r="Y18" s="88">
        <f t="shared" si="3"/>
        <v>318364.1641535628</v>
      </c>
      <c r="Z18" s="65"/>
      <c r="AA18" s="65"/>
    </row>
    <row r="19" spans="1:27" x14ac:dyDescent="0.25">
      <c r="A19" s="3"/>
      <c r="B19" s="3"/>
      <c r="C19" s="3"/>
      <c r="D19" s="3"/>
      <c r="E19" s="55">
        <v>1</v>
      </c>
      <c r="F19" s="86" t="str">
        <f>KPI!$F$158</f>
        <v>Производственные расходы</v>
      </c>
      <c r="G19" s="3"/>
      <c r="H19" s="3"/>
      <c r="I19" s="3"/>
      <c r="J19" s="87" t="str">
        <f>IF($F19="","",INDEX(KPI!$I$11:$I$275,SUMIFS(KPI!$E$11:$E$275,KPI!$F$11:$F$275,$F19)))</f>
        <v>тыс.руб.</v>
      </c>
      <c r="K19" s="3"/>
      <c r="L19" s="3"/>
      <c r="M19" s="89">
        <f t="shared" si="2"/>
        <v>502490.71595943865</v>
      </c>
      <c r="N19" s="3"/>
      <c r="O19" s="3"/>
      <c r="P19" s="89">
        <f>SUM(P20:P23)</f>
        <v>6941.2938362903224</v>
      </c>
      <c r="Q19" s="89">
        <f t="shared" ref="Q19:Y19" si="4">SUM(Q20:Q23)</f>
        <v>11135.529381615483</v>
      </c>
      <c r="R19" s="89">
        <f t="shared" si="4"/>
        <v>15888.850455806627</v>
      </c>
      <c r="S19" s="89">
        <f t="shared" si="4"/>
        <v>23559.557645097295</v>
      </c>
      <c r="T19" s="89">
        <f t="shared" si="4"/>
        <v>41271.989504053898</v>
      </c>
      <c r="U19" s="89">
        <f t="shared" si="4"/>
        <v>56717.634451559439</v>
      </c>
      <c r="V19" s="89">
        <f t="shared" si="4"/>
        <v>71191.149036669158</v>
      </c>
      <c r="W19" s="89">
        <f>SUM(W20:W23)</f>
        <v>80685.104042226652</v>
      </c>
      <c r="X19" s="89">
        <f t="shared" si="4"/>
        <v>97743.673997472375</v>
      </c>
      <c r="Y19" s="89">
        <f t="shared" si="4"/>
        <v>97355.933608647378</v>
      </c>
      <c r="Z19" s="3"/>
      <c r="AA19" s="3"/>
    </row>
    <row r="20" spans="1:27" s="70" customFormat="1" ht="10.199999999999999" x14ac:dyDescent="0.2">
      <c r="A20" s="67"/>
      <c r="B20" s="67"/>
      <c r="C20" s="67"/>
      <c r="D20" s="67"/>
      <c r="E20" s="73"/>
      <c r="F20" s="68" t="str">
        <f>KPI!$F$194</f>
        <v>расходы на ТО производства</v>
      </c>
      <c r="G20" s="67"/>
      <c r="H20" s="67"/>
      <c r="I20" s="67"/>
      <c r="J20" s="67" t="str">
        <f>IF($F20="","",INDEX(KPI!$I$11:$I$275,SUMIFS(KPI!$E$11:$E$275,KPI!$F$11:$F$275,$F20)))</f>
        <v>тыс.руб.</v>
      </c>
      <c r="K20" s="67"/>
      <c r="L20" s="67"/>
      <c r="M20" s="69">
        <f>SUM(O20:Z20)</f>
        <v>62767.825700993359</v>
      </c>
      <c r="N20" s="67"/>
      <c r="O20" s="67"/>
      <c r="P20" s="69">
        <f>SUMIFS(monthly!$205:$205,monthly!$9:$9,"&gt;="&amp;P$8,monthly!$9:$9,"&lt;="&amp;P$9)/(1+условия!T$182)</f>
        <v>1102.9314919354838</v>
      </c>
      <c r="Q20" s="69">
        <f>SUMIFS(monthly!$205:$205,monthly!$9:$9,"&gt;="&amp;Q$8,monthly!$9:$9,"&lt;="&amp;Q$9)/(1+условия!U$182)</f>
        <v>1676.316124903226</v>
      </c>
      <c r="R20" s="69">
        <f>SUMIFS(monthly!$205:$205,monthly!$9:$9,"&gt;="&amp;R$8,monthly!$9:$9,"&lt;="&amp;R$9)/(1+условия!V$182)</f>
        <v>2196.3731352086024</v>
      </c>
      <c r="S20" s="69">
        <f>SUMIFS(monthly!$205:$205,monthly!$9:$9,"&gt;="&amp;S$8,monthly!$9:$9,"&lt;="&amp;S$9)/(1+условия!W$182)</f>
        <v>3035.6189983695072</v>
      </c>
      <c r="T20" s="69">
        <f>SUMIFS(monthly!$205:$205,monthly!$9:$9,"&gt;="&amp;T$8,monthly!$9:$9,"&lt;="&amp;T$9)/(1+условия!X$182)</f>
        <v>5112.2890871873706</v>
      </c>
      <c r="U20" s="69">
        <f>SUMIFS(monthly!$205:$205,monthly!$9:$9,"&gt;="&amp;U$8,monthly!$9:$9,"&lt;="&amp;U$9)/(1+условия!Y$182)</f>
        <v>7079.7191148879028</v>
      </c>
      <c r="V20" s="69">
        <f>SUMIFS(monthly!$205:$205,monthly!$9:$9,"&gt;="&amp;V$8,monthly!$9:$9,"&lt;="&amp;V$9)/(1+условия!Z$182)</f>
        <v>8663.2546274819633</v>
      </c>
      <c r="W20" s="69">
        <f>SUMIFS(monthly!$205:$205,monthly!$9:$9,"&gt;="&amp;W$8,monthly!$9:$9,"&lt;="&amp;W$9)/(1+условия!AA$182)</f>
        <v>9824.7666862254555</v>
      </c>
      <c r="X20" s="69">
        <f>SUMIFS(monthly!$205:$205,monthly!$9:$9,"&gt;="&amp;X$8,monthly!$9:$9,"&lt;="&amp;X$9)/(1+условия!AB$182)</f>
        <v>12059.489398404856</v>
      </c>
      <c r="Y20" s="69">
        <f>SUMIFS(monthly!$205:$205,monthly!$9:$9,"&gt;="&amp;Y$8,monthly!$9:$9,"&lt;="&amp;Y$9)/(1+условия!AC$182)</f>
        <v>12017.067036388991</v>
      </c>
      <c r="Z20" s="67"/>
      <c r="AA20" s="67"/>
    </row>
    <row r="21" spans="1:27" s="70" customFormat="1" ht="10.199999999999999" x14ac:dyDescent="0.2">
      <c r="A21" s="67"/>
      <c r="B21" s="67"/>
      <c r="C21" s="67"/>
      <c r="D21" s="67"/>
      <c r="E21" s="73"/>
      <c r="F21" s="68" t="str">
        <f>KPI!$F$195</f>
        <v>коммунальные расходы производства</v>
      </c>
      <c r="G21" s="67"/>
      <c r="H21" s="67"/>
      <c r="I21" s="67"/>
      <c r="J21" s="67" t="str">
        <f>IF($F21="","",INDEX(KPI!$I$11:$I$275,SUMIFS(KPI!$E$11:$E$275,KPI!$F$11:$F$275,$F21)))</f>
        <v>тыс.руб.</v>
      </c>
      <c r="K21" s="67"/>
      <c r="L21" s="67"/>
      <c r="M21" s="69">
        <f>SUM(O21:Z21)</f>
        <v>430697.24345312343</v>
      </c>
      <c r="N21" s="67"/>
      <c r="O21" s="67"/>
      <c r="P21" s="69">
        <f>SUMIFS(monthly!$207:$207,monthly!$9:$9,"&gt;="&amp;P$8,monthly!$9:$9,"&lt;="&amp;P$9)/(1+условия!T$182)</f>
        <v>5673.4519354838712</v>
      </c>
      <c r="Q21" s="69">
        <f>SUMIFS(monthly!$207:$207,monthly!$9:$9,"&gt;="&amp;Q$8,monthly!$9:$9,"&lt;="&amp;Q$9)/(1+условия!U$182)</f>
        <v>9210.5289992258058</v>
      </c>
      <c r="R21" s="69">
        <f>SUMIFS(monthly!$207:$207,monthly!$9:$9,"&gt;="&amp;R$8,monthly!$9:$9,"&lt;="&amp;R$9)/(1+условия!V$182)</f>
        <v>13370.985081668819</v>
      </c>
      <c r="S21" s="69">
        <f>SUMIFS(monthly!$207:$207,monthly!$9:$9,"&gt;="&amp;S$8,monthly!$9:$9,"&lt;="&amp;S$9)/(1+условия!W$182)</f>
        <v>20084.951986956057</v>
      </c>
      <c r="T21" s="69">
        <f>SUMIFS(monthly!$207:$207,monthly!$9:$9,"&gt;="&amp;T$8,monthly!$9:$9,"&lt;="&amp;T$9)/(1+условия!X$182)</f>
        <v>35425.738029098968</v>
      </c>
      <c r="U21" s="69">
        <f>SUMIFS(monthly!$207:$207,monthly!$9:$9,"&gt;="&amp;U$8,monthly!$9:$9,"&lt;="&amp;U$9)/(1+условия!Y$182)</f>
        <v>48620.028913903225</v>
      </c>
      <c r="V21" s="69">
        <f>SUMIFS(monthly!$207:$207,monthly!$9:$9,"&gt;="&amp;V$8,monthly!$9:$9,"&lt;="&amp;V$9)/(1+условия!Z$182)</f>
        <v>61288.313014655716</v>
      </c>
      <c r="W21" s="69">
        <f>SUMIFS(monthly!$207:$207,monthly!$9:$9,"&gt;="&amp;W$8,monthly!$9:$9,"&lt;="&amp;W$9)/(1+условия!AA$182)</f>
        <v>69454.39087788992</v>
      </c>
      <c r="X21" s="69">
        <f>SUMIFS(monthly!$207:$207,monthly!$9:$9,"&gt;="&amp;X$8,monthly!$9:$9,"&lt;="&amp;X$9)/(1+условия!AB$182)</f>
        <v>83954.11675518399</v>
      </c>
      <c r="Y21" s="69">
        <f>SUMIFS(monthly!$207:$207,monthly!$9:$9,"&gt;="&amp;Y$8,monthly!$9:$9,"&lt;="&amp;Y$9)/(1+условия!AC$182)</f>
        <v>83614.737859057073</v>
      </c>
      <c r="Z21" s="67"/>
      <c r="AA21" s="67"/>
    </row>
    <row r="22" spans="1:27" s="70" customFormat="1" ht="10.199999999999999" x14ac:dyDescent="0.2">
      <c r="A22" s="67"/>
      <c r="B22" s="67"/>
      <c r="C22" s="67"/>
      <c r="D22" s="67"/>
      <c r="E22" s="73"/>
      <c r="F22" s="68" t="str">
        <f>KPI!$F$196</f>
        <v>прочие расходы производства</v>
      </c>
      <c r="G22" s="67"/>
      <c r="H22" s="67"/>
      <c r="I22" s="67"/>
      <c r="J22" s="67" t="str">
        <f>IF($F22="","",INDEX(KPI!$I$11:$I$275,SUMIFS(KPI!$E$11:$E$275,KPI!$F$11:$F$275,$F22)))</f>
        <v>тыс.руб.</v>
      </c>
      <c r="K22" s="67"/>
      <c r="L22" s="67"/>
      <c r="M22" s="69">
        <f t="shared" ref="M22:M31" si="5">SUM(O22:Z22)</f>
        <v>9025.6468053218159</v>
      </c>
      <c r="N22" s="67"/>
      <c r="O22" s="67"/>
      <c r="P22" s="69">
        <f>SUMIFS(monthly!$209:$209,monthly!$9:$9,"&gt;="&amp;P$8,monthly!$9:$9,"&lt;="&amp;P$9)/(1+условия!T$182)</f>
        <v>164.91040887096773</v>
      </c>
      <c r="Q22" s="69">
        <f>SUMIFS(monthly!$209:$209,monthly!$9:$9,"&gt;="&amp;Q$8,monthly!$9:$9,"&lt;="&amp;Q$9)/(1+условия!U$182)</f>
        <v>248.68425748645163</v>
      </c>
      <c r="R22" s="69">
        <f>SUMIFS(monthly!$209:$209,monthly!$9:$9,"&gt;="&amp;R$8,monthly!$9:$9,"&lt;="&amp;R$9)/(1+условия!V$182)</f>
        <v>321.49223892920435</v>
      </c>
      <c r="S22" s="69">
        <f>SUMIFS(monthly!$209:$209,monthly!$9:$9,"&gt;="&amp;S$8,monthly!$9:$9,"&lt;="&amp;S$9)/(1+условия!W$182)</f>
        <v>438.98665977173096</v>
      </c>
      <c r="T22" s="69">
        <f>SUMIFS(monthly!$209:$209,monthly!$9:$9,"&gt;="&amp;T$8,monthly!$9:$9,"&lt;="&amp;T$9)/(1+условия!X$182)</f>
        <v>733.96238776756525</v>
      </c>
      <c r="U22" s="69">
        <f>SUMIFS(monthly!$209:$209,monthly!$9:$9,"&gt;="&amp;U$8,monthly!$9:$9,"&lt;="&amp;U$9)/(1+условия!Y$182)</f>
        <v>1017.8864227683064</v>
      </c>
      <c r="V22" s="69">
        <f>SUMIFS(monthly!$209:$209,monthly!$9:$9,"&gt;="&amp;V$8,monthly!$9:$9,"&lt;="&amp;V$9)/(1+условия!Z$182)</f>
        <v>1239.5813945314749</v>
      </c>
      <c r="W22" s="69">
        <f>SUMIFS(monthly!$209:$209,monthly!$9:$9,"&gt;="&amp;W$8,monthly!$9:$9,"&lt;="&amp;W$9)/(1+условия!AA$182)</f>
        <v>1405.9464781112761</v>
      </c>
      <c r="X22" s="69">
        <f>SUMIFS(monthly!$209:$209,monthly!$9:$9,"&gt;="&amp;X$8,monthly!$9:$9,"&lt;="&amp;X$9)/(1+условия!AB$182)</f>
        <v>1730.0678438835291</v>
      </c>
      <c r="Y22" s="69">
        <f>SUMIFS(monthly!$209:$209,monthly!$9:$9,"&gt;="&amp;Y$8,monthly!$9:$9,"&lt;="&amp;Y$9)/(1+условия!AC$182)</f>
        <v>1724.1287132013085</v>
      </c>
      <c r="Z22" s="67"/>
      <c r="AA22" s="67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x14ac:dyDescent="0.25">
      <c r="A24" s="3"/>
      <c r="B24" s="3"/>
      <c r="C24" s="3"/>
      <c r="D24" s="3"/>
      <c r="E24" s="55">
        <v>1</v>
      </c>
      <c r="F24" s="64" t="str">
        <f>KPI!$F$162</f>
        <v>Расходы логистики</v>
      </c>
      <c r="G24" s="3"/>
      <c r="H24" s="3"/>
      <c r="I24" s="3"/>
      <c r="J24" s="3" t="str">
        <f>IF($F24="","",INDEX(KPI!$I$11:$I$275,SUMIFS(KPI!$E$11:$E$275,KPI!$F$11:$F$275,$F24)))</f>
        <v>тыс.руб.</v>
      </c>
      <c r="K24" s="3"/>
      <c r="L24" s="3"/>
      <c r="M24" s="33">
        <f t="shared" si="5"/>
        <v>47642.615276717384</v>
      </c>
      <c r="N24" s="3"/>
      <c r="O24" s="3"/>
      <c r="P24" s="33">
        <f>SUM(P25:P28)</f>
        <v>53.250000000000007</v>
      </c>
      <c r="Q24" s="33">
        <f t="shared" ref="Q24:Y24" si="6">SUM(Q25:Q28)</f>
        <v>302.40000000000003</v>
      </c>
      <c r="R24" s="33">
        <f t="shared" si="6"/>
        <v>878.08000000000015</v>
      </c>
      <c r="S24" s="33">
        <f t="shared" si="6"/>
        <v>1811.0400000000009</v>
      </c>
      <c r="T24" s="33">
        <f t="shared" si="6"/>
        <v>3642.7776000000013</v>
      </c>
      <c r="U24" s="33">
        <f t="shared" si="6"/>
        <v>5108.9955840000021</v>
      </c>
      <c r="V24" s="33">
        <f t="shared" si="6"/>
        <v>7014.5113735007226</v>
      </c>
      <c r="W24" s="33">
        <f t="shared" si="6"/>
        <v>8407.8039091200044</v>
      </c>
      <c r="X24" s="33">
        <f t="shared" si="6"/>
        <v>9819.1138510080054</v>
      </c>
      <c r="Y24" s="33">
        <f t="shared" si="6"/>
        <v>10604.642959088647</v>
      </c>
      <c r="Z24" s="3"/>
      <c r="AA24" s="3"/>
    </row>
    <row r="25" spans="1:27" s="70" customFormat="1" ht="10.199999999999999" x14ac:dyDescent="0.2">
      <c r="A25" s="67"/>
      <c r="B25" s="67"/>
      <c r="C25" s="67"/>
      <c r="D25" s="67"/>
      <c r="E25" s="73"/>
      <c r="F25" s="68" t="str">
        <f>KPI!$F$65</f>
        <v>расходы на аутсорсинг склада СиМ</v>
      </c>
      <c r="G25" s="67"/>
      <c r="H25" s="67"/>
      <c r="I25" s="67"/>
      <c r="J25" s="67" t="str">
        <f>IF($F25="","",INDEX(KPI!$I$11:$I$275,SUMIFS(KPI!$E$11:$E$275,KPI!$F$11:$F$275,$F25)))</f>
        <v>тыс.руб.</v>
      </c>
      <c r="K25" s="67"/>
      <c r="L25" s="67"/>
      <c r="M25" s="69">
        <f t="shared" si="5"/>
        <v>0</v>
      </c>
      <c r="N25" s="67"/>
      <c r="O25" s="67"/>
      <c r="P25" s="69">
        <f>SUMIFS(monthly!$73:$73,monthly!$9:$9,"&gt;="&amp;P$8,monthly!$9:$9,"&lt;="&amp;P$9)/(1+условия!T$182)</f>
        <v>0</v>
      </c>
      <c r="Q25" s="69">
        <f>SUMIFS(monthly!$73:$73,monthly!$9:$9,"&gt;="&amp;Q$8,monthly!$9:$9,"&lt;="&amp;Q$9)/(1+условия!U$182)</f>
        <v>0</v>
      </c>
      <c r="R25" s="69">
        <f>SUMIFS(monthly!$73:$73,monthly!$9:$9,"&gt;="&amp;R$8,monthly!$9:$9,"&lt;="&amp;R$9)/(1+условия!V$182)</f>
        <v>0</v>
      </c>
      <c r="S25" s="69">
        <f>SUMIFS(monthly!$73:$73,monthly!$9:$9,"&gt;="&amp;S$8,monthly!$9:$9,"&lt;="&amp;S$9)/(1+условия!W$182)</f>
        <v>0</v>
      </c>
      <c r="T25" s="69">
        <f>SUMIFS(monthly!$73:$73,monthly!$9:$9,"&gt;="&amp;T$8,monthly!$9:$9,"&lt;="&amp;T$9)/(1+условия!X$182)</f>
        <v>0</v>
      </c>
      <c r="U25" s="69">
        <f>SUMIFS(monthly!$73:$73,monthly!$9:$9,"&gt;="&amp;U$8,monthly!$9:$9,"&lt;="&amp;U$9)/(1+условия!Y$182)</f>
        <v>0</v>
      </c>
      <c r="V25" s="69">
        <f>SUMIFS(monthly!$73:$73,monthly!$9:$9,"&gt;="&amp;V$8,monthly!$9:$9,"&lt;="&amp;V$9)/(1+условия!Z$182)</f>
        <v>0</v>
      </c>
      <c r="W25" s="69">
        <f>SUMIFS(monthly!$73:$73,monthly!$9:$9,"&gt;="&amp;W$8,monthly!$9:$9,"&lt;="&amp;W$9)/(1+условия!AA$182)</f>
        <v>0</v>
      </c>
      <c r="X25" s="69">
        <f>SUMIFS(monthly!$73:$73,monthly!$9:$9,"&gt;="&amp;X$8,monthly!$9:$9,"&lt;="&amp;X$9)/(1+условия!AB$182)</f>
        <v>0</v>
      </c>
      <c r="Y25" s="69">
        <f>SUMIFS(monthly!$73:$73,monthly!$9:$9,"&gt;="&amp;Y$8,monthly!$9:$9,"&lt;="&amp;Y$9)/(1+условия!AC$182)</f>
        <v>0</v>
      </c>
      <c r="Z25" s="67"/>
      <c r="AA25" s="67"/>
    </row>
    <row r="26" spans="1:27" s="70" customFormat="1" ht="10.199999999999999" x14ac:dyDescent="0.2">
      <c r="A26" s="67"/>
      <c r="B26" s="67"/>
      <c r="C26" s="67"/>
      <c r="D26" s="67"/>
      <c r="E26" s="73"/>
      <c r="F26" s="68" t="str">
        <f>KPI!$F$66</f>
        <v>расходы на аутсорсинг склада ГП</v>
      </c>
      <c r="G26" s="67"/>
      <c r="H26" s="67"/>
      <c r="I26" s="67"/>
      <c r="J26" s="67"/>
      <c r="K26" s="67"/>
      <c r="L26" s="67"/>
      <c r="M26" s="69">
        <f t="shared" si="5"/>
        <v>72.287962300718391</v>
      </c>
      <c r="N26" s="67"/>
      <c r="O26" s="67"/>
      <c r="P26" s="69">
        <f>SUMIFS(monthly!$75:$75,monthly!$9:$9,"&gt;="&amp;P$8,monthly!$9:$9,"&lt;="&amp;P$9)/(1+условия!T$182)</f>
        <v>0</v>
      </c>
      <c r="Q26" s="69">
        <f>SUMIFS(monthly!$75:$75,monthly!$9:$9,"&gt;="&amp;Q$8,monthly!$9:$9,"&lt;="&amp;Q$9)/(1+условия!U$182)</f>
        <v>0</v>
      </c>
      <c r="R26" s="69">
        <f>SUMIFS(monthly!$75:$75,monthly!$9:$9,"&gt;="&amp;R$8,monthly!$9:$9,"&lt;="&amp;R$9)/(1+условия!V$182)</f>
        <v>0</v>
      </c>
      <c r="S26" s="69">
        <f>SUMIFS(monthly!$75:$75,monthly!$9:$9,"&gt;="&amp;S$8,monthly!$9:$9,"&lt;="&amp;S$9)/(1+условия!W$182)</f>
        <v>0</v>
      </c>
      <c r="T26" s="69">
        <f>SUMIFS(monthly!$75:$75,monthly!$9:$9,"&gt;="&amp;T$8,monthly!$9:$9,"&lt;="&amp;T$9)/(1+условия!X$182)</f>
        <v>0</v>
      </c>
      <c r="U26" s="69">
        <f>SUMIFS(monthly!$75:$75,monthly!$9:$9,"&gt;="&amp;U$8,monthly!$9:$9,"&lt;="&amp;U$9)/(1+условия!Y$182)</f>
        <v>0</v>
      </c>
      <c r="V26" s="69">
        <f>SUMIFS(monthly!$75:$75,monthly!$9:$9,"&gt;="&amp;V$8,monthly!$9:$9,"&lt;="&amp;V$9)/(1+условия!Z$182)</f>
        <v>72.287962300718391</v>
      </c>
      <c r="W26" s="69">
        <f>SUMIFS(monthly!$75:$75,monthly!$9:$9,"&gt;="&amp;W$8,monthly!$9:$9,"&lt;="&amp;W$9)/(1+условия!AA$182)</f>
        <v>0</v>
      </c>
      <c r="X26" s="69">
        <f>SUMIFS(monthly!$75:$75,monthly!$9:$9,"&gt;="&amp;X$8,monthly!$9:$9,"&lt;="&amp;X$9)/(1+условия!AB$182)</f>
        <v>0</v>
      </c>
      <c r="Y26" s="69">
        <f>SUMIFS(monthly!$75:$75,monthly!$9:$9,"&gt;="&amp;Y$8,monthly!$9:$9,"&lt;="&amp;Y$9)/(1+условия!AC$182)</f>
        <v>0</v>
      </c>
      <c r="Z26" s="67"/>
      <c r="AA26" s="67"/>
    </row>
    <row r="27" spans="1:27" s="70" customFormat="1" ht="10.199999999999999" x14ac:dyDescent="0.2">
      <c r="A27" s="67"/>
      <c r="B27" s="67"/>
      <c r="C27" s="67"/>
      <c r="D27" s="67"/>
      <c r="E27" s="73"/>
      <c r="F27" s="68" t="str">
        <f>KPI!$F$82</f>
        <v>расходы на аутсорсинг исходящей логистики</v>
      </c>
      <c r="G27" s="67"/>
      <c r="H27" s="67"/>
      <c r="I27" s="67"/>
      <c r="J27" s="67" t="str">
        <f>IF($F27="","",INDEX(KPI!$I$11:$I$275,SUMIFS(KPI!$E$11:$E$275,KPI!$F$11:$F$275,$F27)))</f>
        <v>тыс.руб.</v>
      </c>
      <c r="K27" s="67"/>
      <c r="L27" s="67"/>
      <c r="M27" s="69">
        <f t="shared" si="5"/>
        <v>47570.327314416667</v>
      </c>
      <c r="N27" s="67"/>
      <c r="O27" s="67"/>
      <c r="P27" s="69">
        <f>SUMIFS(monthly!$89:$89,monthly!$9:$9,"&gt;="&amp;P$8,monthly!$9:$9,"&lt;="&amp;P$9)/(1+условия!T$182)</f>
        <v>53.250000000000007</v>
      </c>
      <c r="Q27" s="69">
        <f>SUMIFS(monthly!$89:$89,monthly!$9:$9,"&gt;="&amp;Q$8,monthly!$9:$9,"&lt;="&amp;Q$9)/(1+условия!U$182)</f>
        <v>302.40000000000003</v>
      </c>
      <c r="R27" s="69">
        <f>SUMIFS(monthly!$89:$89,monthly!$9:$9,"&gt;="&amp;R$8,monthly!$9:$9,"&lt;="&amp;R$9)/(1+условия!V$182)</f>
        <v>878.08000000000015</v>
      </c>
      <c r="S27" s="69">
        <f>SUMIFS(monthly!$89:$89,monthly!$9:$9,"&gt;="&amp;S$8,monthly!$9:$9,"&lt;="&amp;S$9)/(1+условия!W$182)</f>
        <v>1811.0400000000009</v>
      </c>
      <c r="T27" s="69">
        <f>SUMIFS(monthly!$89:$89,monthly!$9:$9,"&gt;="&amp;T$8,monthly!$9:$9,"&lt;="&amp;T$9)/(1+условия!X$182)</f>
        <v>3642.7776000000013</v>
      </c>
      <c r="U27" s="69">
        <f>SUMIFS(monthly!$89:$89,monthly!$9:$9,"&gt;="&amp;U$8,monthly!$9:$9,"&lt;="&amp;U$9)/(1+условия!Y$182)</f>
        <v>5108.9955840000021</v>
      </c>
      <c r="V27" s="69">
        <f>SUMIFS(monthly!$89:$89,monthly!$9:$9,"&gt;="&amp;V$8,monthly!$9:$9,"&lt;="&amp;V$9)/(1+условия!Z$182)</f>
        <v>6942.2234112000042</v>
      </c>
      <c r="W27" s="69">
        <f>SUMIFS(monthly!$89:$89,monthly!$9:$9,"&gt;="&amp;W$8,monthly!$9:$9,"&lt;="&amp;W$9)/(1+условия!AA$182)</f>
        <v>8407.8039091200044</v>
      </c>
      <c r="X27" s="69">
        <f>SUMIFS(monthly!$89:$89,monthly!$9:$9,"&gt;="&amp;X$8,monthly!$9:$9,"&lt;="&amp;X$9)/(1+условия!AB$182)</f>
        <v>9819.1138510080054</v>
      </c>
      <c r="Y27" s="69">
        <f>SUMIFS(monthly!$89:$89,monthly!$9:$9,"&gt;="&amp;Y$8,monthly!$9:$9,"&lt;="&amp;Y$9)/(1+условия!AC$182)</f>
        <v>10604.642959088647</v>
      </c>
      <c r="Z27" s="67"/>
      <c r="AA27" s="67"/>
    </row>
    <row r="28" spans="1:27" s="93" customFormat="1" ht="6.6" x14ac:dyDescent="0.15">
      <c r="A28" s="90"/>
      <c r="B28" s="90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2"/>
      <c r="N28" s="90"/>
      <c r="O28" s="9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/>
      <c r="AA28" s="90"/>
    </row>
    <row r="29" spans="1:27" x14ac:dyDescent="0.25">
      <c r="A29" s="3"/>
      <c r="B29" s="3"/>
      <c r="C29" s="3"/>
      <c r="D29" s="3"/>
      <c r="E29" s="55">
        <v>1</v>
      </c>
      <c r="F29" s="64" t="str">
        <f>KPI!$F$84</f>
        <v>Маркетинговые расходы</v>
      </c>
      <c r="G29" s="3"/>
      <c r="H29" s="3"/>
      <c r="I29" s="3"/>
      <c r="J29" s="3" t="str">
        <f>IF($F29="","",INDEX(KPI!$I$11:$I$275,SUMIFS(KPI!$E$11:$E$275,KPI!$F$11:$F$275,$F29)))</f>
        <v>тыс.руб.</v>
      </c>
      <c r="K29" s="3"/>
      <c r="L29" s="3"/>
      <c r="M29" s="33">
        <f t="shared" si="5"/>
        <v>248581.0013843801</v>
      </c>
      <c r="N29" s="3"/>
      <c r="O29" s="3"/>
      <c r="P29" s="33">
        <f>SUMIFS(monthly!$91:$91,monthly!$9:$9,"&gt;="&amp;P$8,monthly!$9:$9,"&lt;="&amp;P$9)/(1+условия!T$182)</f>
        <v>544.82112500000005</v>
      </c>
      <c r="Q29" s="33">
        <f>SUMIFS(monthly!$91:$91,monthly!$9:$9,"&gt;="&amp;Q$8,monthly!$9:$9,"&lt;="&amp;Q$9)/(1+условия!U$182)</f>
        <v>3135.6730944000001</v>
      </c>
      <c r="R29" s="33">
        <f>SUMIFS(monthly!$91:$91,monthly!$9:$9,"&gt;="&amp;R$8,monthly!$9:$9,"&lt;="&amp;R$9)/(1+условия!V$182)</f>
        <v>7343.6991487999985</v>
      </c>
      <c r="S29" s="33">
        <f>SUMIFS(monthly!$91:$91,monthly!$9:$9,"&gt;="&amp;S$8,monthly!$9:$9,"&lt;="&amp;S$9)/(1+условия!W$182)</f>
        <v>15398.819152640006</v>
      </c>
      <c r="T29" s="33">
        <f>SUMIFS(monthly!$91:$91,monthly!$9:$9,"&gt;="&amp;T$8,monthly!$9:$9,"&lt;="&amp;T$9)/(1+условия!X$182)</f>
        <v>23230.218607411203</v>
      </c>
      <c r="U29" s="33">
        <f>SUMIFS(monthly!$91:$91,monthly!$9:$9,"&gt;="&amp;U$8,monthly!$9:$9,"&lt;="&amp;U$9)/(1+условия!Y$182)</f>
        <v>33091.475297126402</v>
      </c>
      <c r="V29" s="33">
        <f>SUMIFS(monthly!$91:$91,monthly!$9:$9,"&gt;="&amp;V$8,monthly!$9:$9,"&lt;="&amp;V$9)/(1+условия!Z$182)</f>
        <v>43954.431927969017</v>
      </c>
      <c r="W29" s="33">
        <f>SUMIFS(monthly!$91:$91,monthly!$9:$9,"&gt;="&amp;W$8,monthly!$9:$9,"&lt;="&amp;W$9)/(1+условия!AA$182)</f>
        <v>43164.051114824622</v>
      </c>
      <c r="X29" s="33">
        <f>SUMIFS(monthly!$91:$91,monthly!$9:$9,"&gt;="&amp;X$8,monthly!$9:$9,"&lt;="&amp;X$9)/(1+условия!AB$182)</f>
        <v>38675.118103793728</v>
      </c>
      <c r="Y29" s="33">
        <f>SUMIFS(monthly!$91:$91,monthly!$9:$9,"&gt;="&amp;Y$8,monthly!$9:$9,"&lt;="&amp;Y$9)/(1+условия!AC$182)</f>
        <v>40042.693812415113</v>
      </c>
      <c r="Z29" s="3"/>
      <c r="AA29" s="3"/>
    </row>
    <row r="30" spans="1:27" s="93" customFormat="1" ht="6.6" x14ac:dyDescent="0.15">
      <c r="A30" s="90"/>
      <c r="B30" s="90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2"/>
      <c r="N30" s="90"/>
      <c r="O30" s="9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/>
      <c r="AA30" s="90"/>
    </row>
    <row r="31" spans="1:27" x14ac:dyDescent="0.25">
      <c r="A31" s="3"/>
      <c r="B31" s="3"/>
      <c r="C31" s="3"/>
      <c r="D31" s="3"/>
      <c r="E31" s="55">
        <v>1</v>
      </c>
      <c r="F31" s="64" t="str">
        <f>KPI!$F$117</f>
        <v>ФОТ</v>
      </c>
      <c r="G31" s="3"/>
      <c r="H31" s="3"/>
      <c r="I31" s="3"/>
      <c r="J31" s="3" t="str">
        <f>IF($F31="","",INDEX(KPI!$I$11:$I$275,SUMIFS(KPI!$E$11:$E$275,KPI!$F$11:$F$275,$F31)))</f>
        <v>тыс.руб.</v>
      </c>
      <c r="K31" s="3"/>
      <c r="L31" s="3"/>
      <c r="M31" s="33">
        <f t="shared" si="5"/>
        <v>746337.51831387379</v>
      </c>
      <c r="N31" s="3"/>
      <c r="O31" s="3"/>
      <c r="P31" s="33">
        <f>SUMIFS(monthly!$113:$113,monthly!$9:$9,"&gt;="&amp;P$8,monthly!$9:$9,"&lt;="&amp;P$9)</f>
        <v>16498.328349916756</v>
      </c>
      <c r="Q31" s="33">
        <f>SUMIFS(monthly!$113:$113,monthly!$9:$9,"&gt;="&amp;Q$8,monthly!$9:$9,"&lt;="&amp;Q$9)</f>
        <v>34169.212940939033</v>
      </c>
      <c r="R31" s="33">
        <f>SUMIFS(monthly!$113:$113,monthly!$9:$9,"&gt;="&amp;R$8,monthly!$9:$9,"&lt;="&amp;R$9)</f>
        <v>39803.952359643903</v>
      </c>
      <c r="S31" s="33">
        <f>SUMIFS(monthly!$113:$113,monthly!$9:$9,"&gt;="&amp;S$8,monthly!$9:$9,"&lt;="&amp;S$9)</f>
        <v>48768.225846394016</v>
      </c>
      <c r="T31" s="33">
        <f>SUMIFS(monthly!$113:$113,monthly!$9:$9,"&gt;="&amp;T$8,monthly!$9:$9,"&lt;="&amp;T$9)</f>
        <v>64314.464490851329</v>
      </c>
      <c r="U31" s="33">
        <f>SUMIFS(monthly!$113:$113,monthly!$9:$9,"&gt;="&amp;U$8,monthly!$9:$9,"&lt;="&amp;U$9)</f>
        <v>86186.888670026514</v>
      </c>
      <c r="V31" s="33">
        <f>SUMIFS(monthly!$113:$113,monthly!$9:$9,"&gt;="&amp;V$8,monthly!$9:$9,"&lt;="&amp;V$9)</f>
        <v>95170.420559880964</v>
      </c>
      <c r="W31" s="33">
        <f>SUMIFS(monthly!$113:$113,monthly!$9:$9,"&gt;="&amp;W$8,monthly!$9:$9,"&lt;="&amp;W$9)</f>
        <v>105638.90147805121</v>
      </c>
      <c r="X31" s="33">
        <f>SUMIFS(monthly!$113:$113,monthly!$9:$9,"&gt;="&amp;X$8,monthly!$9:$9,"&lt;="&amp;X$9)</f>
        <v>127177.56100843183</v>
      </c>
      <c r="Y31" s="33">
        <f>SUMIFS(monthly!$113:$113,monthly!$9:$9,"&gt;="&amp;Y$8,monthly!$9:$9,"&lt;="&amp;Y$9)</f>
        <v>128609.5626097382</v>
      </c>
      <c r="Z31" s="3"/>
      <c r="AA31" s="3"/>
    </row>
    <row r="32" spans="1:27" s="93" customFormat="1" ht="6.6" x14ac:dyDescent="0.15">
      <c r="A32" s="90"/>
      <c r="B32" s="90"/>
      <c r="C32" s="90"/>
      <c r="D32" s="90"/>
      <c r="E32" s="91"/>
      <c r="F32" s="98"/>
      <c r="G32" s="90"/>
      <c r="H32" s="90"/>
      <c r="I32" s="90"/>
      <c r="J32" s="90"/>
      <c r="K32" s="90"/>
      <c r="L32" s="90"/>
      <c r="M32" s="92"/>
      <c r="N32" s="90"/>
      <c r="O32" s="90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0"/>
      <c r="AA32" s="90"/>
    </row>
    <row r="33" spans="1:27" x14ac:dyDescent="0.25">
      <c r="A33" s="3"/>
      <c r="B33" s="3"/>
      <c r="C33" s="3"/>
      <c r="D33" s="3"/>
      <c r="E33" s="55">
        <v>1</v>
      </c>
      <c r="F33" s="64" t="str">
        <f>KPI!$F$118</f>
        <v>Отчисления в соц. фонды</v>
      </c>
      <c r="G33" s="3"/>
      <c r="H33" s="3"/>
      <c r="I33" s="3"/>
      <c r="J33" s="3" t="str">
        <f>IF($F33="","",INDEX(KPI!$I$11:$I$275,SUMIFS(KPI!$E$11:$E$275,KPI!$F$11:$F$275,$F33)))</f>
        <v>тыс.руб.</v>
      </c>
      <c r="K33" s="3"/>
      <c r="L33" s="3"/>
      <c r="M33" s="33">
        <f t="shared" ref="M33" si="7">SUM(O33:Z33)</f>
        <v>223901.25549416209</v>
      </c>
      <c r="N33" s="3"/>
      <c r="O33" s="3"/>
      <c r="P33" s="33">
        <f>SUMIFS(monthly!$115:$115,monthly!$9:$9,"&gt;="&amp;P$8,monthly!$9:$9,"&lt;="&amp;P$9)</f>
        <v>4949.4985049750267</v>
      </c>
      <c r="Q33" s="33">
        <f>SUMIFS(monthly!$115:$115,monthly!$9:$9,"&gt;="&amp;Q$8,monthly!$9:$9,"&lt;="&amp;Q$9)</f>
        <v>10250.76388228171</v>
      </c>
      <c r="R33" s="33">
        <f>SUMIFS(monthly!$115:$115,monthly!$9:$9,"&gt;="&amp;R$8,monthly!$9:$9,"&lt;="&amp;R$9)</f>
        <v>11941.185707893172</v>
      </c>
      <c r="S33" s="33">
        <f>SUMIFS(monthly!$115:$115,monthly!$9:$9,"&gt;="&amp;S$8,monthly!$9:$9,"&lt;="&amp;S$9)</f>
        <v>14630.467753918205</v>
      </c>
      <c r="T33" s="33">
        <f>SUMIFS(monthly!$115:$115,monthly!$9:$9,"&gt;="&amp;T$8,monthly!$9:$9,"&lt;="&amp;T$9)</f>
        <v>19294.339347255402</v>
      </c>
      <c r="U33" s="33">
        <f>SUMIFS(monthly!$115:$115,monthly!$9:$9,"&gt;="&amp;U$8,monthly!$9:$9,"&lt;="&amp;U$9)</f>
        <v>25856.066601007955</v>
      </c>
      <c r="V33" s="33">
        <f>SUMIFS(monthly!$115:$115,monthly!$9:$9,"&gt;="&amp;V$8,monthly!$9:$9,"&lt;="&amp;V$9)</f>
        <v>28551.126167964281</v>
      </c>
      <c r="W33" s="33">
        <f>SUMIFS(monthly!$115:$115,monthly!$9:$9,"&gt;="&amp;W$8,monthly!$9:$9,"&lt;="&amp;W$9)</f>
        <v>31691.670443415358</v>
      </c>
      <c r="X33" s="33">
        <f>SUMIFS(monthly!$115:$115,monthly!$9:$9,"&gt;="&amp;X$8,monthly!$9:$9,"&lt;="&amp;X$9)</f>
        <v>38153.268302529548</v>
      </c>
      <c r="Y33" s="33">
        <f>SUMIFS(monthly!$115:$115,monthly!$9:$9,"&gt;="&amp;Y$8,monthly!$9:$9,"&lt;="&amp;Y$9)</f>
        <v>38582.868782921447</v>
      </c>
      <c r="Z33" s="3"/>
      <c r="AA33" s="3"/>
    </row>
    <row r="34" spans="1:27" s="93" customFormat="1" ht="6.6" x14ac:dyDescent="0.15">
      <c r="A34" s="90"/>
      <c r="B34" s="90"/>
      <c r="C34" s="90"/>
      <c r="D34" s="90"/>
      <c r="E34" s="91"/>
      <c r="F34" s="90"/>
      <c r="G34" s="90"/>
      <c r="H34" s="90"/>
      <c r="I34" s="90"/>
      <c r="J34" s="90"/>
      <c r="K34" s="90"/>
      <c r="L34" s="90"/>
      <c r="M34" s="92"/>
      <c r="N34" s="90"/>
      <c r="O34" s="90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0"/>
      <c r="AA34" s="90"/>
    </row>
    <row r="35" spans="1:27" x14ac:dyDescent="0.25">
      <c r="A35" s="3"/>
      <c r="B35" s="3"/>
      <c r="C35" s="3"/>
      <c r="D35" s="3"/>
      <c r="E35" s="55">
        <v>1</v>
      </c>
      <c r="F35" s="64" t="str">
        <f>KPI!$F$123</f>
        <v>АНХ расходы</v>
      </c>
      <c r="G35" s="3"/>
      <c r="H35" s="3"/>
      <c r="I35" s="3"/>
      <c r="J35" s="3" t="str">
        <f>IF($F35="","",INDEX(KPI!$I$11:$I$275,SUMIFS(KPI!$E$11:$E$275,KPI!$F$11:$F$275,$F35)))</f>
        <v>тыс.руб.</v>
      </c>
      <c r="K35" s="3"/>
      <c r="L35" s="3"/>
      <c r="M35" s="33">
        <f t="shared" ref="M35" si="8">SUM(O35:Z35)</f>
        <v>12713.636963016765</v>
      </c>
      <c r="N35" s="3"/>
      <c r="O35" s="3"/>
      <c r="P35" s="33">
        <f>SUMIFS(monthly!$123:$123,monthly!$9:$9,"&gt;="&amp;P$8,monthly!$9:$9,"&lt;="&amp;P$9)/(1+условия!T$182)</f>
        <v>353.33333333333337</v>
      </c>
      <c r="Q35" s="33">
        <f>SUMIFS(monthly!$123:$123,monthly!$9:$9,"&gt;="&amp;Q$8,monthly!$9:$9,"&lt;="&amp;Q$9)/(1+условия!U$182)</f>
        <v>651.00000000000011</v>
      </c>
      <c r="R35" s="33">
        <f>SUMIFS(monthly!$123:$123,monthly!$9:$9,"&gt;="&amp;R$8,monthly!$9:$9,"&lt;="&amp;R$9)/(1+условия!V$182)</f>
        <v>719.04000000000008</v>
      </c>
      <c r="S35" s="33">
        <f>SUMIFS(monthly!$123:$123,monthly!$9:$9,"&gt;="&amp;S$8,monthly!$9:$9,"&lt;="&amp;S$9)/(1+условия!W$182)</f>
        <v>825.09840000000042</v>
      </c>
      <c r="T35" s="33">
        <f>SUMIFS(monthly!$123:$123,monthly!$9:$9,"&gt;="&amp;T$8,monthly!$9:$9,"&lt;="&amp;T$9)/(1+условия!X$182)</f>
        <v>1006.1953650000004</v>
      </c>
      <c r="U35" s="33">
        <f>SUMIFS(monthly!$123:$123,monthly!$9:$9,"&gt;="&amp;U$8,monthly!$9:$9,"&lt;="&amp;U$9)/(1+условия!Y$182)</f>
        <v>1458.7885317600008</v>
      </c>
      <c r="V35" s="33">
        <f>SUMIFS(monthly!$123:$123,monthly!$9:$9,"&gt;="&amp;V$8,monthly!$9:$9,"&lt;="&amp;V$9)/(1+условия!Z$182)</f>
        <v>1531.727958348001</v>
      </c>
      <c r="W35" s="33">
        <f>SUMIFS(monthly!$123:$123,monthly!$9:$9,"&gt;="&amp;W$8,monthly!$9:$9,"&lt;="&amp;W$9)/(1+условия!AA$182)</f>
        <v>1688.1761473012805</v>
      </c>
      <c r="X35" s="33">
        <f>SUMIFS(monthly!$123:$123,monthly!$9:$9,"&gt;="&amp;X$8,monthly!$9:$9,"&lt;="&amp;X$9)/(1+условия!AB$182)</f>
        <v>2228.9936454100234</v>
      </c>
      <c r="Y35" s="33">
        <f>SUMIFS(monthly!$123:$123,monthly!$9:$9,"&gt;="&amp;Y$8,monthly!$9:$9,"&lt;="&amp;Y$9)/(1+условия!AC$182)</f>
        <v>2251.2835818641242</v>
      </c>
      <c r="Z35" s="3"/>
      <c r="AA35" s="3"/>
    </row>
    <row r="36" spans="1:27" s="93" customFormat="1" ht="6.6" x14ac:dyDescent="0.15">
      <c r="A36" s="90"/>
      <c r="B36" s="90"/>
      <c r="C36" s="90"/>
      <c r="D36" s="90"/>
      <c r="E36" s="91"/>
      <c r="F36" s="90"/>
      <c r="G36" s="90"/>
      <c r="H36" s="90"/>
      <c r="I36" s="90"/>
      <c r="J36" s="90"/>
      <c r="K36" s="90"/>
      <c r="L36" s="90"/>
      <c r="M36" s="92"/>
      <c r="N36" s="90"/>
      <c r="O36" s="90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0"/>
      <c r="AA36" s="90"/>
    </row>
    <row r="37" spans="1:27" x14ac:dyDescent="0.25">
      <c r="A37" s="3"/>
      <c r="B37" s="3"/>
      <c r="C37" s="3"/>
      <c r="D37" s="3"/>
      <c r="E37" s="55">
        <v>1</v>
      </c>
      <c r="F37" s="64" t="str">
        <f>KPI!$F$240</f>
        <v>Налог на имущество</v>
      </c>
      <c r="G37" s="3"/>
      <c r="H37" s="3"/>
      <c r="I37" s="3"/>
      <c r="J37" s="3" t="str">
        <f>IF($F37="","",INDEX(KPI!$I$11:$I$275,SUMIFS(KPI!$E$11:$E$275,KPI!$F$11:$F$275,$F37)))</f>
        <v>тыс.руб.</v>
      </c>
      <c r="K37" s="3"/>
      <c r="L37" s="3"/>
      <c r="M37" s="33">
        <f t="shared" ref="M37" si="9">SUM(O37:Z37)</f>
        <v>6951.5076712534037</v>
      </c>
      <c r="N37" s="3"/>
      <c r="O37" s="3"/>
      <c r="P37" s="33">
        <f>условия!$Q$186*условия!T$184*(BS!O$19+BS!O$21+BS!P$19+BS!P$21)/2</f>
        <v>296.77083333333331</v>
      </c>
      <c r="Q37" s="33">
        <f>условия!$Q$186*условия!U$184*(BS!P$19+BS!P$21+BS!Q$19+BS!Q$21)/2</f>
        <v>561.45833333333337</v>
      </c>
      <c r="R37" s="33">
        <f>условия!$Q$186*условия!V$184*(BS!Q$19+BS!Q$21+BS!R$19+BS!R$21)/2</f>
        <v>497.29166666666669</v>
      </c>
      <c r="S37" s="33">
        <f>условия!$Q$186*условия!W$184*(BS!R$19+BS!R$21+BS!S$19+BS!S$21)/2</f>
        <v>433.12500000000006</v>
      </c>
      <c r="T37" s="33">
        <f>условия!$Q$186*условия!X$184*(BS!S$19+BS!S$21+BS!T$19+BS!T$21)/2</f>
        <v>650.86897168027804</v>
      </c>
      <c r="U37" s="33">
        <f>условия!$Q$186*условия!Y$184*(BS!T$19+BS!T$21+BS!U$19+BS!U$21)/2</f>
        <v>839.44977387638903</v>
      </c>
      <c r="V37" s="33">
        <f>условия!$Q$186*условия!Z$184*(BS!U$19+BS!U$21+BS!V$19+BS!V$21)/2</f>
        <v>716.95676824138877</v>
      </c>
      <c r="W37" s="33">
        <f>условия!$Q$186*условия!AA$184*(BS!V$19+BS!V$21+BS!W$19+BS!W$21)/2</f>
        <v>929.92347252318291</v>
      </c>
      <c r="X37" s="33">
        <f>условия!$Q$186*условия!AB$184*(BS!W$19+BS!W$21+BS!X$19+BS!X$21)/2</f>
        <v>1108.4840527109463</v>
      </c>
      <c r="Y37" s="33">
        <f>условия!$Q$186*условия!AC$184*(BS!X$19+BS!X$21+BS!Y$19+BS!Y$21)/2</f>
        <v>917.17879888788627</v>
      </c>
      <c r="Z37" s="3"/>
      <c r="AA37" s="3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101" customFormat="1" ht="6.6" x14ac:dyDescent="0.15">
      <c r="A39" s="99"/>
      <c r="B39" s="99"/>
      <c r="C39" s="99"/>
      <c r="D39" s="99"/>
      <c r="E39" s="91"/>
      <c r="F39" s="99"/>
      <c r="G39" s="99"/>
      <c r="H39" s="99"/>
      <c r="I39" s="99"/>
      <c r="J39" s="99"/>
      <c r="K39" s="99"/>
      <c r="L39" s="99"/>
      <c r="M39" s="100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99"/>
      <c r="AA39" s="99"/>
    </row>
    <row r="40" spans="1:27" s="66" customFormat="1" ht="14.4" thickBot="1" x14ac:dyDescent="0.35">
      <c r="A40" s="65"/>
      <c r="B40" s="65"/>
      <c r="C40" s="65"/>
      <c r="D40" s="65"/>
      <c r="E40" s="72"/>
      <c r="F40" s="83" t="str">
        <f>KPI!$F$135</f>
        <v>EBITDA - прибыль от собственной операц. деят-ти</v>
      </c>
      <c r="G40" s="65"/>
      <c r="H40" s="65"/>
      <c r="I40" s="65"/>
      <c r="J40" s="83" t="str">
        <f>IF($F40="","",INDEX(KPI!$I$11:$I$275,SUMIFS(KPI!$E$11:$E$275,KPI!$F$11:$F$275,$F40)))</f>
        <v>тыс.руб.</v>
      </c>
      <c r="K40" s="65"/>
      <c r="L40" s="65"/>
      <c r="M40" s="84">
        <f>SUM(O40:Z40)</f>
        <v>971036.29307012632</v>
      </c>
      <c r="N40" s="65"/>
      <c r="O40" s="65"/>
      <c r="P40" s="84">
        <f>P16-P18</f>
        <v>-27945.842645771983</v>
      </c>
      <c r="Q40" s="84">
        <f t="shared" ref="Q40:Y40" si="10">Q16-Q18</f>
        <v>-46748.478461059894</v>
      </c>
      <c r="R40" s="84">
        <f t="shared" si="10"/>
        <v>-31309.143936099892</v>
      </c>
      <c r="S40" s="84">
        <f t="shared" si="10"/>
        <v>979.79261432339263</v>
      </c>
      <c r="T40" s="84">
        <f t="shared" si="10"/>
        <v>62371.923221341742</v>
      </c>
      <c r="U40" s="84">
        <f t="shared" si="10"/>
        <v>114379.76505071766</v>
      </c>
      <c r="V40" s="84">
        <f t="shared" si="10"/>
        <v>182784.86897240172</v>
      </c>
      <c r="W40" s="84">
        <f t="shared" si="10"/>
        <v>225977.18494755164</v>
      </c>
      <c r="X40" s="84">
        <f t="shared" si="10"/>
        <v>239488.05639532907</v>
      </c>
      <c r="Y40" s="84">
        <f t="shared" si="10"/>
        <v>251058.166911393</v>
      </c>
      <c r="Z40" s="65"/>
      <c r="AA40" s="65"/>
    </row>
    <row r="41" spans="1:27" s="93" customFormat="1" ht="7.2" thickTop="1" x14ac:dyDescent="0.15">
      <c r="A41" s="90"/>
      <c r="B41" s="90"/>
      <c r="C41" s="90"/>
      <c r="D41" s="90"/>
      <c r="E41" s="91"/>
      <c r="F41" s="94"/>
      <c r="G41" s="90"/>
      <c r="H41" s="90"/>
      <c r="I41" s="90"/>
      <c r="J41" s="94"/>
      <c r="K41" s="90"/>
      <c r="L41" s="90"/>
      <c r="M41" s="95"/>
      <c r="N41" s="90"/>
      <c r="O41" s="90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0"/>
      <c r="AA41" s="90"/>
    </row>
    <row r="42" spans="1:27" x14ac:dyDescent="0.25">
      <c r="A42" s="3"/>
      <c r="B42" s="3"/>
      <c r="C42" s="3"/>
      <c r="D42" s="3"/>
      <c r="E42" s="55">
        <v>1</v>
      </c>
      <c r="F42" s="64" t="str">
        <f>KPI!$F$136</f>
        <v>Амортизация</v>
      </c>
      <c r="G42" s="3"/>
      <c r="H42" s="3"/>
      <c r="I42" s="3"/>
      <c r="J42" s="3" t="str">
        <f>IF($F42="","",INDEX(KPI!$I$11:$I$275,SUMIFS(KPI!$E$11:$E$275,KPI!$F$11:$F$275,$F42)))</f>
        <v>тыс.руб.</v>
      </c>
      <c r="K42" s="3"/>
      <c r="L42" s="3"/>
      <c r="M42" s="33">
        <f t="shared" ref="M42" si="11">SUM(O42:Z42)</f>
        <v>99229.669659477004</v>
      </c>
      <c r="N42" s="3"/>
      <c r="O42" s="3"/>
      <c r="P42" s="33">
        <f>PL_m!P65</f>
        <v>4375</v>
      </c>
      <c r="Q42" s="33">
        <f>PL_m!Q65</f>
        <v>5833.333333333333</v>
      </c>
      <c r="R42" s="33">
        <f>PL_m!R65</f>
        <v>5833.333333333333</v>
      </c>
      <c r="S42" s="33">
        <f>PL_m!S65</f>
        <v>5833.333333333333</v>
      </c>
      <c r="T42" s="33">
        <f>PL_m!T65</f>
        <v>7600.7981505555563</v>
      </c>
      <c r="U42" s="33">
        <f>PL_m!U65</f>
        <v>11135.727785000003</v>
      </c>
      <c r="V42" s="33">
        <f>PL_m!V65</f>
        <v>11135.727785000003</v>
      </c>
      <c r="W42" s="33">
        <f>PL_m!W65</f>
        <v>12699.642516546828</v>
      </c>
      <c r="X42" s="33">
        <f>PL_m!X65</f>
        <v>17391.386711187308</v>
      </c>
      <c r="Y42" s="33">
        <f>PL_m!Y65</f>
        <v>17391.386711187308</v>
      </c>
      <c r="Z42" s="3"/>
      <c r="AA42" s="3"/>
    </row>
    <row r="43" spans="1:27" s="93" customFormat="1" ht="6.6" x14ac:dyDescent="0.15">
      <c r="A43" s="90"/>
      <c r="B43" s="90"/>
      <c r="C43" s="90"/>
      <c r="D43" s="90"/>
      <c r="E43" s="91"/>
      <c r="F43" s="90"/>
      <c r="G43" s="90"/>
      <c r="H43" s="90"/>
      <c r="I43" s="90"/>
      <c r="J43" s="90"/>
      <c r="K43" s="90"/>
      <c r="L43" s="90"/>
      <c r="M43" s="92"/>
      <c r="N43" s="90"/>
      <c r="O43" s="90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0"/>
      <c r="AA43" s="90"/>
    </row>
    <row r="44" spans="1:27" s="66" customFormat="1" ht="13.8" x14ac:dyDescent="0.3">
      <c r="A44" s="65"/>
      <c r="B44" s="65"/>
      <c r="C44" s="65"/>
      <c r="D44" s="65"/>
      <c r="E44" s="72"/>
      <c r="F44" s="85" t="str">
        <f>KPI!$F$137</f>
        <v>EBIT - прибыль до учета %-тов и налога на прибыль</v>
      </c>
      <c r="G44" s="65"/>
      <c r="H44" s="65"/>
      <c r="I44" s="65"/>
      <c r="J44" s="85" t="str">
        <f>IF($F44="","",INDEX(KPI!$I$11:$I$275,SUMIFS(KPI!$E$11:$E$275,KPI!$F$11:$F$275,$F44)))</f>
        <v>тыс.руб.</v>
      </c>
      <c r="K44" s="65"/>
      <c r="L44" s="65"/>
      <c r="M44" s="88">
        <f>SUM(O44:Z44)</f>
        <v>871806.62341064936</v>
      </c>
      <c r="N44" s="65"/>
      <c r="O44" s="65"/>
      <c r="P44" s="88">
        <f>P40-P42</f>
        <v>-32320.842645771983</v>
      </c>
      <c r="Q44" s="88">
        <f t="shared" ref="Q44:Y44" si="12">Q40-Q42</f>
        <v>-52581.81179439323</v>
      </c>
      <c r="R44" s="88">
        <f t="shared" si="12"/>
        <v>-37142.477269433228</v>
      </c>
      <c r="S44" s="88">
        <f t="shared" si="12"/>
        <v>-4853.5407190099404</v>
      </c>
      <c r="T44" s="88">
        <f t="shared" si="12"/>
        <v>54771.125070786184</v>
      </c>
      <c r="U44" s="88">
        <f t="shared" si="12"/>
        <v>103244.03726571766</v>
      </c>
      <c r="V44" s="88">
        <f t="shared" si="12"/>
        <v>171649.14118740172</v>
      </c>
      <c r="W44" s="88">
        <f t="shared" si="12"/>
        <v>213277.54243100481</v>
      </c>
      <c r="X44" s="88">
        <f t="shared" si="12"/>
        <v>222096.66968414176</v>
      </c>
      <c r="Y44" s="88">
        <f t="shared" si="12"/>
        <v>233666.78020020569</v>
      </c>
      <c r="Z44" s="65"/>
      <c r="AA44" s="65"/>
    </row>
    <row r="45" spans="1:27" s="93" customFormat="1" ht="6.6" x14ac:dyDescent="0.15">
      <c r="A45" s="90"/>
      <c r="B45" s="90"/>
      <c r="C45" s="90"/>
      <c r="D45" s="90"/>
      <c r="E45" s="91"/>
      <c r="F45" s="96"/>
      <c r="G45" s="90"/>
      <c r="H45" s="90"/>
      <c r="I45" s="90"/>
      <c r="J45" s="96"/>
      <c r="K45" s="90"/>
      <c r="L45" s="90"/>
      <c r="M45" s="97"/>
      <c r="N45" s="90"/>
      <c r="O45" s="90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0"/>
      <c r="AA45" s="90"/>
    </row>
    <row r="46" spans="1:27" x14ac:dyDescent="0.25">
      <c r="A46" s="3"/>
      <c r="B46" s="3"/>
      <c r="C46" s="3"/>
      <c r="D46" s="3"/>
      <c r="E46" s="55">
        <v>1</v>
      </c>
      <c r="F46" s="64" t="str">
        <f>KPI!$F$197</f>
        <v>Начисление процентов по овердрафту</v>
      </c>
      <c r="G46" s="3"/>
      <c r="H46" s="3"/>
      <c r="I46" s="3"/>
      <c r="J46" s="3" t="str">
        <f>IF($F46="","",INDEX(KPI!$I$11:$I$275,SUMIFS(KPI!$E$11:$E$275,KPI!$F$11:$F$275,$F46)))</f>
        <v>тыс.руб.</v>
      </c>
      <c r="K46" s="3"/>
      <c r="L46" s="3"/>
      <c r="M46" s="33">
        <f t="shared" ref="M46" si="13">SUM(O46:Z46)</f>
        <v>107416.9627456286</v>
      </c>
      <c r="N46" s="3"/>
      <c r="O46" s="3"/>
      <c r="P46" s="33">
        <f>PL_m!P69</f>
        <v>1013.0281996256065</v>
      </c>
      <c r="Q46" s="33">
        <f>PL_m!Q69</f>
        <v>7659.0468104444153</v>
      </c>
      <c r="R46" s="33">
        <f>PL_m!R69</f>
        <v>14529.387360194989</v>
      </c>
      <c r="S46" s="33">
        <f>PL_m!S69</f>
        <v>21939.44669588983</v>
      </c>
      <c r="T46" s="33">
        <f>PL_m!T69</f>
        <v>25250.302880702533</v>
      </c>
      <c r="U46" s="33">
        <f>PL_m!U69</f>
        <v>21949.087046621404</v>
      </c>
      <c r="V46" s="33">
        <f>PL_m!V69</f>
        <v>13677.423324019832</v>
      </c>
      <c r="W46" s="33">
        <f>PL_m!W69</f>
        <v>1399.2404281299953</v>
      </c>
      <c r="X46" s="33">
        <f>PL_m!X69</f>
        <v>0</v>
      </c>
      <c r="Y46" s="33">
        <f>PL_m!Y69</f>
        <v>0</v>
      </c>
      <c r="Z46" s="3"/>
      <c r="AA46" s="3"/>
    </row>
    <row r="47" spans="1:27" s="93" customFormat="1" ht="6.6" x14ac:dyDescent="0.15">
      <c r="A47" s="90"/>
      <c r="B47" s="90"/>
      <c r="C47" s="90"/>
      <c r="D47" s="90"/>
      <c r="E47" s="91"/>
      <c r="F47" s="90"/>
      <c r="G47" s="90"/>
      <c r="H47" s="90"/>
      <c r="I47" s="90"/>
      <c r="J47" s="90"/>
      <c r="K47" s="90"/>
      <c r="L47" s="90"/>
      <c r="M47" s="92"/>
      <c r="N47" s="90"/>
      <c r="O47" s="90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0"/>
      <c r="AA47" s="90"/>
    </row>
    <row r="48" spans="1:27" s="66" customFormat="1" ht="13.8" x14ac:dyDescent="0.3">
      <c r="A48" s="65"/>
      <c r="B48" s="65"/>
      <c r="C48" s="65"/>
      <c r="D48" s="65"/>
      <c r="E48" s="72"/>
      <c r="F48" s="85" t="str">
        <f>KPI!$F$151</f>
        <v>NOPAT до учета налога на прибыль</v>
      </c>
      <c r="G48" s="65"/>
      <c r="H48" s="65"/>
      <c r="I48" s="65"/>
      <c r="J48" s="85" t="str">
        <f>IF($F48="","",INDEX(KPI!$I$11:$I$275,SUMIFS(KPI!$E$11:$E$275,KPI!$F$11:$F$275,$F48)))</f>
        <v>тыс.руб.</v>
      </c>
      <c r="K48" s="65"/>
      <c r="L48" s="65"/>
      <c r="M48" s="88">
        <f>SUM(O48:Z48)</f>
        <v>764389.66066502081</v>
      </c>
      <c r="N48" s="65"/>
      <c r="O48" s="65"/>
      <c r="P48" s="88">
        <f>P44-P46</f>
        <v>-33333.870845397592</v>
      </c>
      <c r="Q48" s="88">
        <f t="shared" ref="Q48:Y48" si="14">Q44-Q46</f>
        <v>-60240.858604837646</v>
      </c>
      <c r="R48" s="88">
        <f t="shared" si="14"/>
        <v>-51671.864629628217</v>
      </c>
      <c r="S48" s="88">
        <f t="shared" si="14"/>
        <v>-26792.98741489977</v>
      </c>
      <c r="T48" s="88">
        <f t="shared" si="14"/>
        <v>29520.822190083651</v>
      </c>
      <c r="U48" s="88">
        <f t="shared" si="14"/>
        <v>81294.950219096267</v>
      </c>
      <c r="V48" s="88">
        <f t="shared" si="14"/>
        <v>157971.7178633819</v>
      </c>
      <c r="W48" s="88">
        <f t="shared" si="14"/>
        <v>211878.30200287481</v>
      </c>
      <c r="X48" s="88">
        <f t="shared" si="14"/>
        <v>222096.66968414176</v>
      </c>
      <c r="Y48" s="88">
        <f t="shared" si="14"/>
        <v>233666.78020020569</v>
      </c>
      <c r="Z48" s="65"/>
      <c r="AA48" s="65"/>
    </row>
    <row r="49" spans="1:27" s="93" customFormat="1" ht="6.6" x14ac:dyDescent="0.15">
      <c r="A49" s="90"/>
      <c r="B49" s="90"/>
      <c r="C49" s="90"/>
      <c r="D49" s="90"/>
      <c r="E49" s="91"/>
      <c r="F49" s="96"/>
      <c r="G49" s="90"/>
      <c r="H49" s="90"/>
      <c r="I49" s="90"/>
      <c r="J49" s="96"/>
      <c r="K49" s="90"/>
      <c r="L49" s="90"/>
      <c r="M49" s="97"/>
      <c r="N49" s="90"/>
      <c r="O49" s="90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0"/>
      <c r="AA49" s="90"/>
    </row>
    <row r="50" spans="1:27" x14ac:dyDescent="0.25">
      <c r="A50" s="3"/>
      <c r="B50" s="3"/>
      <c r="C50" s="3"/>
      <c r="D50" s="3"/>
      <c r="E50" s="55">
        <v>1</v>
      </c>
      <c r="F50" s="64" t="str">
        <f>KPI!$F$153</f>
        <v>Налог на прибыль</v>
      </c>
      <c r="G50" s="3"/>
      <c r="H50" s="3"/>
      <c r="I50" s="3"/>
      <c r="J50" s="3" t="str">
        <f>IF($F50="","",INDEX(KPI!$I$11:$I$275,SUMIFS(KPI!$E$11:$E$275,KPI!$F$11:$F$275,$F50)))</f>
        <v>тыс.руб.</v>
      </c>
      <c r="K50" s="3"/>
      <c r="L50" s="3"/>
      <c r="M50" s="33">
        <f t="shared" ref="M50" si="15">SUM(O50:Z50)</f>
        <v>187285.84843195678</v>
      </c>
      <c r="N50" s="3"/>
      <c r="O50" s="3"/>
      <c r="P50" s="33">
        <f>PL_m!P73</f>
        <v>0</v>
      </c>
      <c r="Q50" s="33">
        <f>PL_m!Q73</f>
        <v>0</v>
      </c>
      <c r="R50" s="33">
        <f>PL_m!R73</f>
        <v>0</v>
      </c>
      <c r="S50" s="33">
        <f>PL_m!S73</f>
        <v>0</v>
      </c>
      <c r="T50" s="33">
        <f>PL_m!T73</f>
        <v>5904.1644380167245</v>
      </c>
      <c r="U50" s="33">
        <f>PL_m!U73</f>
        <v>16258.990043819249</v>
      </c>
      <c r="V50" s="33">
        <f>PL_m!V73</f>
        <v>31594.343572676382</v>
      </c>
      <c r="W50" s="33">
        <f>PL_m!W73</f>
        <v>42375.660400574954</v>
      </c>
      <c r="X50" s="33">
        <f>PL_m!X73</f>
        <v>44419.333936828349</v>
      </c>
      <c r="Y50" s="33">
        <f>PL_m!Y73</f>
        <v>46733.356040041144</v>
      </c>
      <c r="Z50" s="3"/>
      <c r="AA50" s="3"/>
    </row>
    <row r="51" spans="1:27" s="93" customFormat="1" ht="6.6" x14ac:dyDescent="0.15">
      <c r="A51" s="90"/>
      <c r="B51" s="90"/>
      <c r="C51" s="90"/>
      <c r="D51" s="90"/>
      <c r="E51" s="91"/>
      <c r="F51" s="90"/>
      <c r="G51" s="90"/>
      <c r="H51" s="90"/>
      <c r="I51" s="90"/>
      <c r="J51" s="90"/>
      <c r="K51" s="90"/>
      <c r="L51" s="90"/>
      <c r="M51" s="92"/>
      <c r="N51" s="90"/>
      <c r="O51" s="9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0"/>
      <c r="AA51" s="90"/>
    </row>
    <row r="52" spans="1:27" s="66" customFormat="1" ht="13.8" x14ac:dyDescent="0.3">
      <c r="A52" s="65"/>
      <c r="B52" s="65"/>
      <c r="C52" s="65"/>
      <c r="D52" s="65"/>
      <c r="E52" s="72"/>
      <c r="F52" s="85" t="str">
        <f>KPI!$F$154</f>
        <v>NOPAT - "чистая прибыль"</v>
      </c>
      <c r="G52" s="65"/>
      <c r="H52" s="65"/>
      <c r="I52" s="65"/>
      <c r="J52" s="85" t="str">
        <f>IF($F52="","",INDEX(KPI!$I$11:$I$275,SUMIFS(KPI!$E$11:$E$275,KPI!$F$11:$F$275,$F52)))</f>
        <v>тыс.руб.</v>
      </c>
      <c r="K52" s="65"/>
      <c r="L52" s="65"/>
      <c r="M52" s="88">
        <f>SUM(O52:Z52)</f>
        <v>577103.81223306409</v>
      </c>
      <c r="N52" s="65"/>
      <c r="O52" s="65"/>
      <c r="P52" s="88">
        <f>P48-P50</f>
        <v>-33333.870845397592</v>
      </c>
      <c r="Q52" s="88">
        <f t="shared" ref="Q52:Y52" si="16">Q48-Q50</f>
        <v>-60240.858604837646</v>
      </c>
      <c r="R52" s="88">
        <f t="shared" si="16"/>
        <v>-51671.864629628217</v>
      </c>
      <c r="S52" s="88">
        <f t="shared" si="16"/>
        <v>-26792.98741489977</v>
      </c>
      <c r="T52" s="88">
        <f t="shared" si="16"/>
        <v>23616.657752066927</v>
      </c>
      <c r="U52" s="88">
        <f t="shared" si="16"/>
        <v>65035.960175277018</v>
      </c>
      <c r="V52" s="88">
        <f t="shared" si="16"/>
        <v>126377.37429070551</v>
      </c>
      <c r="W52" s="88">
        <f t="shared" si="16"/>
        <v>169502.64160229987</v>
      </c>
      <c r="X52" s="88">
        <f t="shared" si="16"/>
        <v>177677.33574731339</v>
      </c>
      <c r="Y52" s="88">
        <f t="shared" si="16"/>
        <v>186933.42416016455</v>
      </c>
      <c r="Z52" s="65"/>
      <c r="AA52" s="65"/>
    </row>
    <row r="53" spans="1:27" s="93" customFormat="1" ht="6.6" x14ac:dyDescent="0.15">
      <c r="A53" s="90"/>
      <c r="B53" s="90"/>
      <c r="C53" s="90"/>
      <c r="D53" s="90"/>
      <c r="E53" s="91"/>
      <c r="F53" s="96"/>
      <c r="G53" s="90"/>
      <c r="H53" s="90"/>
      <c r="I53" s="90"/>
      <c r="J53" s="96"/>
      <c r="K53" s="90"/>
      <c r="L53" s="90"/>
      <c r="M53" s="97"/>
      <c r="N53" s="90"/>
      <c r="O53" s="90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0"/>
      <c r="AA53" s="90"/>
    </row>
    <row r="54" spans="1:27" x14ac:dyDescent="0.25">
      <c r="A54" s="3"/>
      <c r="B54" s="3"/>
      <c r="C54" s="3"/>
      <c r="D54" s="3"/>
      <c r="E54" s="55">
        <v>1</v>
      </c>
      <c r="F54" s="64" t="str">
        <f>KPI!$F$149</f>
        <v>Начисление %WACC по инвестициям</v>
      </c>
      <c r="G54" s="3"/>
      <c r="H54" s="3"/>
      <c r="I54" s="3"/>
      <c r="J54" s="3" t="str">
        <f>IF($F54="","",INDEX(KPI!$I$11:$I$275,SUMIFS(KPI!$E$11:$E$275,KPI!$F$11:$F$275,$F54)))</f>
        <v>тыс.руб.</v>
      </c>
      <c r="K54" s="3"/>
      <c r="L54" s="3"/>
      <c r="M54" s="33">
        <f t="shared" ref="M54" si="17">SUM(O54:Z54)</f>
        <v>82674.020821079655</v>
      </c>
      <c r="N54" s="3"/>
      <c r="O54" s="3"/>
      <c r="P54" s="33">
        <f>PL_m!P77</f>
        <v>3484.0053763440869</v>
      </c>
      <c r="Q54" s="33">
        <f>PL_m!Q77</f>
        <v>4900.0000000000009</v>
      </c>
      <c r="R54" s="33">
        <f>PL_m!R77</f>
        <v>4900.0000000000009</v>
      </c>
      <c r="S54" s="33">
        <f>PL_m!S77</f>
        <v>4900.0000000000009</v>
      </c>
      <c r="T54" s="33">
        <f>PL_m!T77</f>
        <v>6211.0597894201628</v>
      </c>
      <c r="U54" s="33">
        <f>PL_m!U77</f>
        <v>9354.0113394000018</v>
      </c>
      <c r="V54" s="33">
        <f>PL_m!V77</f>
        <v>9354.0113394000018</v>
      </c>
      <c r="W54" s="33">
        <f>PL_m!W77</f>
        <v>10353.403301720733</v>
      </c>
      <c r="X54" s="33">
        <f>PL_m!X77</f>
        <v>14608.764837397341</v>
      </c>
      <c r="Y54" s="33">
        <f>PL_m!Y77</f>
        <v>14608.764837397341</v>
      </c>
      <c r="Z54" s="3"/>
      <c r="AA54" s="3"/>
    </row>
    <row r="55" spans="1:27" s="93" customFormat="1" ht="6.6" x14ac:dyDescent="0.15">
      <c r="A55" s="90"/>
      <c r="B55" s="90"/>
      <c r="C55" s="90"/>
      <c r="D55" s="90"/>
      <c r="E55" s="91"/>
      <c r="F55" s="90"/>
      <c r="G55" s="90"/>
      <c r="H55" s="90"/>
      <c r="I55" s="90"/>
      <c r="J55" s="90"/>
      <c r="K55" s="90"/>
      <c r="L55" s="90"/>
      <c r="M55" s="92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s="66" customFormat="1" ht="14.4" thickBot="1" x14ac:dyDescent="0.35">
      <c r="A56" s="65"/>
      <c r="B56" s="65"/>
      <c r="C56" s="65"/>
      <c r="D56" s="65"/>
      <c r="E56" s="72"/>
      <c r="F56" s="83" t="str">
        <f>KPI!$F$264</f>
        <v>EVA - экономическая добавленная стоимость</v>
      </c>
      <c r="G56" s="65"/>
      <c r="H56" s="65"/>
      <c r="I56" s="65"/>
      <c r="J56" s="83" t="str">
        <f>IF($F56="","",INDEX(KPI!$I$11:$I$275,SUMIFS(KPI!$E$11:$E$275,KPI!$F$11:$F$275,$F56)))</f>
        <v>тыс.руб.</v>
      </c>
      <c r="K56" s="65"/>
      <c r="L56" s="65"/>
      <c r="M56" s="84">
        <f>SUM(O56:Z56)</f>
        <v>494429.79141198436</v>
      </c>
      <c r="N56" s="65"/>
      <c r="O56" s="65"/>
      <c r="P56" s="84">
        <f>P52-P54</f>
        <v>-36817.876221741681</v>
      </c>
      <c r="Q56" s="84">
        <f t="shared" ref="Q56:Y56" si="18">Q52-Q54</f>
        <v>-65140.858604837646</v>
      </c>
      <c r="R56" s="84">
        <f t="shared" si="18"/>
        <v>-56571.864629628217</v>
      </c>
      <c r="S56" s="84">
        <f t="shared" si="18"/>
        <v>-31692.98741489977</v>
      </c>
      <c r="T56" s="84">
        <f t="shared" si="18"/>
        <v>17405.597962646763</v>
      </c>
      <c r="U56" s="84">
        <f t="shared" si="18"/>
        <v>55681.948835877018</v>
      </c>
      <c r="V56" s="84">
        <f t="shared" si="18"/>
        <v>117023.36295130551</v>
      </c>
      <c r="W56" s="84">
        <f t="shared" si="18"/>
        <v>159149.23830057913</v>
      </c>
      <c r="X56" s="84">
        <f t="shared" si="18"/>
        <v>163068.57090991604</v>
      </c>
      <c r="Y56" s="84">
        <f t="shared" si="18"/>
        <v>172324.6593227672</v>
      </c>
      <c r="Z56" s="65"/>
      <c r="AA56" s="65"/>
    </row>
    <row r="57" spans="1:27" s="93" customFormat="1" ht="7.2" thickTop="1" x14ac:dyDescent="0.15">
      <c r="A57" s="90"/>
      <c r="B57" s="90"/>
      <c r="C57" s="90"/>
      <c r="D57" s="90"/>
      <c r="E57" s="91"/>
      <c r="F57" s="94"/>
      <c r="G57" s="90"/>
      <c r="H57" s="90"/>
      <c r="I57" s="90"/>
      <c r="J57" s="94"/>
      <c r="K57" s="90"/>
      <c r="L57" s="90"/>
      <c r="M57" s="95"/>
      <c r="N57" s="90"/>
      <c r="O57" s="90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0"/>
      <c r="AA57" s="90"/>
    </row>
    <row r="58" spans="1:27" x14ac:dyDescent="0.25">
      <c r="A58" s="3"/>
      <c r="B58" s="3"/>
      <c r="C58" s="3"/>
      <c r="D58" s="3"/>
      <c r="E58" s="55"/>
      <c r="F58" s="3"/>
      <c r="G58" s="3"/>
      <c r="H58" s="3"/>
      <c r="I58" s="3"/>
      <c r="J58" s="3"/>
      <c r="K58" s="3"/>
      <c r="L58" s="3"/>
      <c r="M58" s="33"/>
      <c r="N58" s="3"/>
      <c r="O58" s="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"/>
      <c r="AA58" s="3"/>
    </row>
    <row r="59" spans="1:27" x14ac:dyDescent="0.25">
      <c r="A59" s="3"/>
      <c r="B59" s="3"/>
      <c r="C59" s="3"/>
      <c r="D59" s="3"/>
      <c r="E59" s="55"/>
      <c r="F59" s="3"/>
      <c r="G59" s="3"/>
      <c r="H59" s="3"/>
      <c r="I59" s="3"/>
      <c r="J59" s="3"/>
      <c r="K59" s="3"/>
      <c r="L59" s="3"/>
      <c r="M59" s="33"/>
      <c r="N59" s="3"/>
      <c r="O59" s="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"/>
      <c r="AA59" s="3"/>
    </row>
    <row r="60" spans="1:27" x14ac:dyDescent="0.25">
      <c r="A60" s="3"/>
      <c r="B60" s="3"/>
      <c r="C60" s="3"/>
      <c r="D60" s="3"/>
      <c r="E60" s="55"/>
      <c r="F60" s="3"/>
      <c r="G60" s="3"/>
      <c r="H60" s="3"/>
      <c r="I60" s="3"/>
      <c r="J60" s="3"/>
      <c r="K60" s="3"/>
      <c r="L60" s="3"/>
      <c r="M60" s="33"/>
      <c r="N60" s="3"/>
      <c r="O60" s="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"/>
      <c r="AA60" s="3"/>
    </row>
    <row r="61" spans="1:27" x14ac:dyDescent="0.25">
      <c r="A61" s="3"/>
      <c r="B61" s="3"/>
      <c r="C61" s="3"/>
      <c r="D61" s="3"/>
      <c r="E61" s="55"/>
      <c r="F61" s="3"/>
      <c r="G61" s="3"/>
      <c r="H61" s="3"/>
      <c r="I61" s="3"/>
      <c r="J61" s="3"/>
      <c r="K61" s="3"/>
      <c r="L61" s="3"/>
      <c r="M61" s="33"/>
      <c r="N61" s="3"/>
      <c r="O61" s="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"/>
      <c r="AA61" s="3"/>
    </row>
    <row r="62" spans="1:27" x14ac:dyDescent="0.25">
      <c r="A62" s="3"/>
      <c r="B62" s="3"/>
      <c r="C62" s="3"/>
      <c r="D62" s="3"/>
      <c r="E62" s="55"/>
      <c r="F62" s="3"/>
      <c r="G62" s="3"/>
      <c r="H62" s="3"/>
      <c r="I62" s="3"/>
      <c r="J62" s="3"/>
      <c r="K62" s="3"/>
      <c r="L62" s="3"/>
      <c r="M62" s="33"/>
      <c r="N62" s="3"/>
      <c r="O62" s="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"/>
      <c r="AA62" s="3"/>
    </row>
    <row r="63" spans="1:27" x14ac:dyDescent="0.25">
      <c r="A63" s="3"/>
      <c r="B63" s="3"/>
      <c r="C63" s="3"/>
      <c r="D63" s="3"/>
      <c r="E63" s="55"/>
      <c r="F63" s="3"/>
      <c r="G63" s="3"/>
      <c r="H63" s="3"/>
      <c r="I63" s="3"/>
      <c r="J63" s="3"/>
      <c r="K63" s="3"/>
      <c r="L63" s="3"/>
      <c r="M63" s="33"/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"/>
    </row>
    <row r="64" spans="1:27" x14ac:dyDescent="0.25">
      <c r="A64" s="3"/>
      <c r="B64" s="3"/>
      <c r="C64" s="3"/>
      <c r="D64" s="3"/>
      <c r="E64" s="55"/>
      <c r="F64" s="3"/>
      <c r="G64" s="3"/>
      <c r="H64" s="3"/>
      <c r="I64" s="3"/>
      <c r="J64" s="3"/>
      <c r="K64" s="3"/>
      <c r="L64" s="3"/>
      <c r="M64" s="33"/>
      <c r="N64" s="3"/>
      <c r="O64" s="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"/>
      <c r="AA64" s="3"/>
    </row>
    <row r="65" spans="1:27" x14ac:dyDescent="0.25">
      <c r="A65" s="3"/>
      <c r="B65" s="3"/>
      <c r="C65" s="3"/>
      <c r="D65" s="3"/>
      <c r="E65" s="55"/>
      <c r="F65" s="3"/>
      <c r="G65" s="3"/>
      <c r="H65" s="3"/>
      <c r="I65" s="3"/>
      <c r="J65" s="3"/>
      <c r="K65" s="3"/>
      <c r="L65" s="3"/>
      <c r="M65" s="33"/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"/>
      <c r="AA65" s="3"/>
    </row>
    <row r="66" spans="1:27" x14ac:dyDescent="0.25">
      <c r="A66" s="3"/>
      <c r="B66" s="3"/>
      <c r="C66" s="3"/>
      <c r="D66" s="3"/>
      <c r="E66" s="55"/>
      <c r="F66" s="3"/>
      <c r="G66" s="3"/>
      <c r="H66" s="3"/>
      <c r="I66" s="3"/>
      <c r="J66" s="3"/>
      <c r="K66" s="3"/>
      <c r="L66" s="3"/>
      <c r="M66" s="33"/>
      <c r="N66" s="3"/>
      <c r="O66" s="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"/>
      <c r="AA66" s="3"/>
    </row>
  </sheetData>
  <conditionalFormatting sqref="P8:Y9">
    <cfRule type="containsBlanks" dxfId="401" priority="5">
      <formula>LEN(TRIM(P8))=0</formula>
    </cfRule>
  </conditionalFormatting>
  <conditionalFormatting sqref="M40 P40:Y40">
    <cfRule type="cellIs" dxfId="400" priority="3" operator="lessThan">
      <formula>0</formula>
    </cfRule>
    <cfRule type="cellIs" dxfId="399" priority="4" operator="greaterThanOrEqual">
      <formula>0</formula>
    </cfRule>
  </conditionalFormatting>
  <conditionalFormatting sqref="M56 P56:Y56">
    <cfRule type="cellIs" dxfId="398" priority="1" operator="lessThan">
      <formula>0</formula>
    </cfRule>
    <cfRule type="cellIs" dxfId="397" priority="2" operator="greaterThanOr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2"/>
  <sheetViews>
    <sheetView showGridLines="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6" sqref="B6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171">
        <f>BS!$C$8</f>
        <v>4.6566128730773926E-10</v>
      </c>
      <c r="D2" s="191" t="str">
        <f>структура!$P$12</f>
        <v>контроль</v>
      </c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оглавление!$F$46</f>
        <v>CASH FLOW (отчет о движении денежных средств, ДДС)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2021г.</v>
      </c>
      <c r="Q7" s="25" t="str">
        <f>IF(условия!U7="","",условия!U7)</f>
        <v>2022г.</v>
      </c>
      <c r="R7" s="25" t="str">
        <f>IF(условия!V7="","",условия!V7)</f>
        <v>2023г.</v>
      </c>
      <c r="S7" s="25" t="str">
        <f>IF(условия!W7="","",условия!W7)</f>
        <v>2024г.</v>
      </c>
      <c r="T7" s="25" t="str">
        <f>IF(условия!X7="","",условия!X7)</f>
        <v>2025г.</v>
      </c>
      <c r="U7" s="25" t="str">
        <f>IF(условия!Y7="","",условия!Y7)</f>
        <v>2026г.</v>
      </c>
      <c r="V7" s="25" t="str">
        <f>IF(условия!Z7="","",условия!Z7)</f>
        <v>2027г.</v>
      </c>
      <c r="W7" s="25" t="str">
        <f>IF(условия!AA7="","",условия!AA7)</f>
        <v>2028г.</v>
      </c>
      <c r="X7" s="25" t="str">
        <f>IF(условия!AB7="","",условия!AB7)</f>
        <v>2029г.</v>
      </c>
      <c r="Y7" s="25" t="str">
        <f>IF(условия!AC7="","",условия!AC7)</f>
        <v>2030г.</v>
      </c>
      <c r="Z7" s="3"/>
      <c r="AA7" s="3"/>
    </row>
    <row r="8" spans="1:27" x14ac:dyDescent="0.25">
      <c r="A8" s="3"/>
      <c r="B8" s="3"/>
      <c r="C8" s="171"/>
      <c r="D8" s="191"/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>
        <f>IF(условия!T8="","",условия!T8)</f>
        <v>44197</v>
      </c>
      <c r="Q8" s="24">
        <f>IF(условия!U8="","",условия!U8)</f>
        <v>44562</v>
      </c>
      <c r="R8" s="24">
        <f>IF(условия!V8="","",условия!V8)</f>
        <v>44927</v>
      </c>
      <c r="S8" s="24">
        <f>IF(условия!W8="","",условия!W8)</f>
        <v>45292</v>
      </c>
      <c r="T8" s="24">
        <f>IF(условия!X8="","",условия!X8)</f>
        <v>45658</v>
      </c>
      <c r="U8" s="24">
        <f>IF(условия!Y8="","",условия!Y8)</f>
        <v>46023</v>
      </c>
      <c r="V8" s="24">
        <f>IF(условия!Z8="","",условия!Z8)</f>
        <v>46388</v>
      </c>
      <c r="W8" s="24">
        <f>IF(условия!AA8="","",условия!AA8)</f>
        <v>46753</v>
      </c>
      <c r="X8" s="24">
        <f>IF(условия!AB8="","",условия!AB8)</f>
        <v>47119</v>
      </c>
      <c r="Y8" s="24">
        <f>IF(условия!AC8="","",условия!AC8)</f>
        <v>47484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>
        <f>IF(условия!T9="","",условия!T9)</f>
        <v>44561</v>
      </c>
      <c r="Q9" s="61">
        <f>IF(условия!U9="","",условия!U9)</f>
        <v>44926</v>
      </c>
      <c r="R9" s="61">
        <f>IF(условия!V9="","",условия!V9)</f>
        <v>45291</v>
      </c>
      <c r="S9" s="61">
        <f>IF(условия!W9="","",условия!W9)</f>
        <v>45657</v>
      </c>
      <c r="T9" s="61">
        <f>IF(условия!X9="","",условия!X9)</f>
        <v>46022</v>
      </c>
      <c r="U9" s="61">
        <f>IF(условия!Y9="","",условия!Y9)</f>
        <v>46387</v>
      </c>
      <c r="V9" s="61">
        <f>IF(условия!Z9="","",условия!Z9)</f>
        <v>46752</v>
      </c>
      <c r="W9" s="61">
        <f>IF(условия!AA9="","",условия!AA9)</f>
        <v>47118</v>
      </c>
      <c r="X9" s="61">
        <f>IF(условия!AB9="","",условия!AB9)</f>
        <v>47483</v>
      </c>
      <c r="Y9" s="61">
        <f>IF(условия!AC9="","",условия!AC9)</f>
        <v>47848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x14ac:dyDescent="0.25">
      <c r="A12" s="3"/>
      <c r="B12" s="3"/>
      <c r="C12" s="3"/>
      <c r="D12" s="3"/>
      <c r="E12" s="55"/>
      <c r="F12" s="80" t="str">
        <f>KPI!$F$209</f>
        <v>Остаток ДС на начало периода</v>
      </c>
      <c r="G12" s="3"/>
      <c r="H12" s="3"/>
      <c r="I12" s="3"/>
      <c r="J12" s="81" t="str">
        <f>IF($F12="","",INDEX(KPI!$I$11:$I$275,SUMIFS(KPI!$E$11:$E$275,KPI!$F$11:$F$275,$F12)))</f>
        <v>тыс.руб.</v>
      </c>
      <c r="K12" s="3"/>
      <c r="L12" s="3"/>
      <c r="M12" s="82">
        <f>P12</f>
        <v>0</v>
      </c>
      <c r="N12" s="3"/>
      <c r="O12" s="3"/>
      <c r="P12" s="82">
        <v>0</v>
      </c>
      <c r="Q12" s="82">
        <f>P21</f>
        <v>0</v>
      </c>
      <c r="R12" s="82">
        <f t="shared" ref="R12:Y12" si="1">Q21</f>
        <v>0</v>
      </c>
      <c r="S12" s="82">
        <f t="shared" si="1"/>
        <v>0</v>
      </c>
      <c r="T12" s="82">
        <f t="shared" si="1"/>
        <v>0</v>
      </c>
      <c r="U12" s="82">
        <f t="shared" si="1"/>
        <v>0</v>
      </c>
      <c r="V12" s="82">
        <f t="shared" si="1"/>
        <v>0</v>
      </c>
      <c r="W12" s="82">
        <f t="shared" si="1"/>
        <v>9937.8169854381122</v>
      </c>
      <c r="X12" s="82">
        <f t="shared" si="1"/>
        <v>124826.27616073145</v>
      </c>
      <c r="Y12" s="82">
        <f t="shared" si="1"/>
        <v>531481.87319533504</v>
      </c>
      <c r="Z12" s="3"/>
      <c r="AA12" s="3"/>
    </row>
    <row r="13" spans="1:27" s="93" customFormat="1" ht="6.6" x14ac:dyDescent="0.15">
      <c r="A13" s="90"/>
      <c r="B13" s="90"/>
      <c r="C13" s="90"/>
      <c r="D13" s="90"/>
      <c r="E13" s="91"/>
      <c r="F13" s="96"/>
      <c r="G13" s="90"/>
      <c r="H13" s="90"/>
      <c r="I13" s="90"/>
      <c r="J13" s="96"/>
      <c r="K13" s="90"/>
      <c r="L13" s="90"/>
      <c r="M13" s="97"/>
      <c r="N13" s="90"/>
      <c r="O13" s="90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0"/>
      <c r="AA13" s="90"/>
    </row>
    <row r="14" spans="1:27" s="77" customFormat="1" ht="15" thickBot="1" x14ac:dyDescent="0.35">
      <c r="A14" s="75"/>
      <c r="B14" s="75"/>
      <c r="C14" s="75"/>
      <c r="D14" s="75"/>
      <c r="E14" s="76"/>
      <c r="F14" s="78" t="str">
        <f>KPI!$F$206</f>
        <v>Финансовый поток - итого</v>
      </c>
      <c r="G14" s="75"/>
      <c r="H14" s="75"/>
      <c r="I14" s="75"/>
      <c r="J14" s="78" t="str">
        <f>IF($F14="","",INDEX(KPI!$I$11:$I$275,SUMIFS(KPI!$E$11:$E$275,KPI!$F$11:$F$275,$F14)))</f>
        <v>тыс.руб.</v>
      </c>
      <c r="K14" s="75"/>
      <c r="L14" s="75"/>
      <c r="M14" s="79">
        <f>M16-M18</f>
        <v>414711.0172900036</v>
      </c>
      <c r="N14" s="75"/>
      <c r="O14" s="75"/>
      <c r="P14" s="79">
        <f>P16-P18</f>
        <v>0</v>
      </c>
      <c r="Q14" s="79">
        <f t="shared" ref="Q14:Y14" si="2">Q16-Q18</f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9937.8169854381122</v>
      </c>
      <c r="W14" s="79">
        <f t="shared" si="2"/>
        <v>114888.45917529333</v>
      </c>
      <c r="X14" s="79">
        <f t="shared" si="2"/>
        <v>406655.59703460359</v>
      </c>
      <c r="Y14" s="79">
        <f t="shared" si="2"/>
        <v>-116770.85590533027</v>
      </c>
      <c r="Z14" s="75"/>
      <c r="AA14" s="75"/>
    </row>
    <row r="15" spans="1:27" s="93" customFormat="1" ht="7.2" thickTop="1" x14ac:dyDescent="0.15">
      <c r="A15" s="90"/>
      <c r="B15" s="90"/>
      <c r="C15" s="90"/>
      <c r="D15" s="90"/>
      <c r="E15" s="91"/>
      <c r="F15" s="94"/>
      <c r="G15" s="90"/>
      <c r="H15" s="90"/>
      <c r="I15" s="90"/>
      <c r="J15" s="94"/>
      <c r="K15" s="90"/>
      <c r="L15" s="90"/>
      <c r="M15" s="95"/>
      <c r="N15" s="90"/>
      <c r="O15" s="90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0"/>
      <c r="AA15" s="90"/>
    </row>
    <row r="16" spans="1:27" s="66" customFormat="1" ht="13.8" x14ac:dyDescent="0.3">
      <c r="A16" s="65"/>
      <c r="B16" s="65"/>
      <c r="C16" s="65"/>
      <c r="D16" s="65"/>
      <c r="E16" s="72"/>
      <c r="F16" s="85" t="str">
        <f>KPI!$F$207</f>
        <v>Поступления ДС - итого</v>
      </c>
      <c r="G16" s="65"/>
      <c r="H16" s="65"/>
      <c r="I16" s="65"/>
      <c r="J16" s="85" t="str">
        <f>IF($F16="","",INDEX(KPI!$I$11:$I$275,SUMIFS(KPI!$E$11:$E$275,KPI!$F$11:$F$275,$F16)))</f>
        <v>тыс.руб.</v>
      </c>
      <c r="K16" s="65"/>
      <c r="L16" s="65"/>
      <c r="M16" s="88">
        <f t="shared" ref="M16" si="3">SUM(O16:Z16)</f>
        <v>14200755.698026091</v>
      </c>
      <c r="N16" s="65"/>
      <c r="O16" s="65"/>
      <c r="P16" s="88">
        <f>P25+P55+P66</f>
        <v>120648.58180809113</v>
      </c>
      <c r="Q16" s="88">
        <f t="shared" ref="Q16:Y16" si="4">Q25+Q55+Q66</f>
        <v>166004.7081319167</v>
      </c>
      <c r="R16" s="88">
        <f t="shared" si="4"/>
        <v>367771.66393813799</v>
      </c>
      <c r="S16" s="88">
        <f t="shared" si="4"/>
        <v>673233.30694879894</v>
      </c>
      <c r="T16" s="88">
        <f t="shared" si="4"/>
        <v>1362515.422602185</v>
      </c>
      <c r="U16" s="88">
        <f t="shared" si="4"/>
        <v>1953865.7053834444</v>
      </c>
      <c r="V16" s="88">
        <f t="shared" si="4"/>
        <v>2253920.7933888729</v>
      </c>
      <c r="W16" s="88">
        <f t="shared" si="4"/>
        <v>2330398.0323397033</v>
      </c>
      <c r="X16" s="88">
        <f t="shared" si="4"/>
        <v>2442223.418171268</v>
      </c>
      <c r="Y16" s="88">
        <f t="shared" si="4"/>
        <v>2530174.0653136722</v>
      </c>
      <c r="Z16" s="65"/>
      <c r="AA16" s="65"/>
    </row>
    <row r="17" spans="1:27" s="101" customFormat="1" ht="6.6" x14ac:dyDescent="0.15">
      <c r="A17" s="99"/>
      <c r="B17" s="99"/>
      <c r="C17" s="99"/>
      <c r="D17" s="99"/>
      <c r="E17" s="91"/>
      <c r="F17" s="99"/>
      <c r="G17" s="99"/>
      <c r="H17" s="99"/>
      <c r="I17" s="99"/>
      <c r="J17" s="99"/>
      <c r="K17" s="99"/>
      <c r="L17" s="99"/>
      <c r="M17" s="100"/>
      <c r="N17" s="99"/>
      <c r="O17" s="99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99"/>
      <c r="AA17" s="99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KPI!$F$208</f>
        <v>Отток ДС - итого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" si="5">SUM(O18:Z18)</f>
        <v>13786044.680736087</v>
      </c>
      <c r="N18" s="65"/>
      <c r="O18" s="65"/>
      <c r="P18" s="88">
        <f>P31+P58+P69</f>
        <v>120648.58180809114</v>
      </c>
      <c r="Q18" s="88">
        <f t="shared" ref="Q18:Y18" si="6">Q31+Q58+Q69</f>
        <v>166004.70813191676</v>
      </c>
      <c r="R18" s="88">
        <f t="shared" si="6"/>
        <v>367771.66393813788</v>
      </c>
      <c r="S18" s="88">
        <f t="shared" si="6"/>
        <v>673233.30694879906</v>
      </c>
      <c r="T18" s="88">
        <f t="shared" si="6"/>
        <v>1362515.422602185</v>
      </c>
      <c r="U18" s="88">
        <f t="shared" si="6"/>
        <v>1953865.7053834447</v>
      </c>
      <c r="V18" s="88">
        <f t="shared" si="6"/>
        <v>2243982.9764034348</v>
      </c>
      <c r="W18" s="88">
        <f t="shared" si="6"/>
        <v>2215509.57316441</v>
      </c>
      <c r="X18" s="88">
        <f t="shared" si="6"/>
        <v>2035567.8211366644</v>
      </c>
      <c r="Y18" s="88">
        <f t="shared" si="6"/>
        <v>2646944.9212190025</v>
      </c>
      <c r="Z18" s="65"/>
      <c r="AA18" s="65"/>
    </row>
    <row r="19" spans="1:27" s="93" customFormat="1" ht="6.6" x14ac:dyDescent="0.15">
      <c r="A19" s="90"/>
      <c r="B19" s="90"/>
      <c r="C19" s="90"/>
      <c r="D19" s="90"/>
      <c r="E19" s="91"/>
      <c r="F19" s="90"/>
      <c r="G19" s="90"/>
      <c r="H19" s="90"/>
      <c r="I19" s="90"/>
      <c r="J19" s="90"/>
      <c r="K19" s="90"/>
      <c r="L19" s="90"/>
      <c r="M19" s="92"/>
      <c r="N19" s="90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0"/>
      <c r="AA19" s="90"/>
    </row>
    <row r="20" spans="1:27" s="101" customFormat="1" ht="6.6" x14ac:dyDescent="0.15">
      <c r="A20" s="99"/>
      <c r="B20" s="99"/>
      <c r="C20" s="99"/>
      <c r="D20" s="99"/>
      <c r="E20" s="91"/>
      <c r="F20" s="109"/>
      <c r="G20" s="109"/>
      <c r="H20" s="109"/>
      <c r="I20" s="109"/>
      <c r="J20" s="109"/>
      <c r="K20" s="109"/>
      <c r="L20" s="109"/>
      <c r="M20" s="110"/>
      <c r="N20" s="109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99"/>
      <c r="AA20" s="99"/>
    </row>
    <row r="21" spans="1:27" s="77" customFormat="1" ht="14.4" x14ac:dyDescent="0.3">
      <c r="A21" s="75"/>
      <c r="B21" s="75"/>
      <c r="C21" s="75"/>
      <c r="D21" s="75"/>
      <c r="E21" s="76"/>
      <c r="F21" s="144" t="str">
        <f>KPI!$F$210</f>
        <v>Остаток ДС на конец периода</v>
      </c>
      <c r="G21" s="75"/>
      <c r="H21" s="75"/>
      <c r="I21" s="75"/>
      <c r="J21" s="145" t="str">
        <f>IF($F21="","",INDEX(KPI!$I$11:$I$275,SUMIFS(KPI!$E$11:$E$275,KPI!$F$11:$F$275,$F21)))</f>
        <v>тыс.руб.</v>
      </c>
      <c r="K21" s="75"/>
      <c r="L21" s="75"/>
      <c r="M21" s="146">
        <f>M12+M14</f>
        <v>414711.0172900036</v>
      </c>
      <c r="N21" s="75"/>
      <c r="O21" s="75"/>
      <c r="P21" s="147">
        <f>P12+P14</f>
        <v>0</v>
      </c>
      <c r="Q21" s="148">
        <f t="shared" ref="Q21:Y21" si="7">Q12+Q14</f>
        <v>0</v>
      </c>
      <c r="R21" s="148">
        <f t="shared" si="7"/>
        <v>0</v>
      </c>
      <c r="S21" s="148">
        <f t="shared" si="7"/>
        <v>0</v>
      </c>
      <c r="T21" s="148">
        <f t="shared" si="7"/>
        <v>0</v>
      </c>
      <c r="U21" s="148">
        <f t="shared" si="7"/>
        <v>0</v>
      </c>
      <c r="V21" s="148">
        <f t="shared" si="7"/>
        <v>9937.8169854381122</v>
      </c>
      <c r="W21" s="148">
        <f t="shared" si="7"/>
        <v>124826.27616073145</v>
      </c>
      <c r="X21" s="148">
        <f t="shared" si="7"/>
        <v>531481.87319533504</v>
      </c>
      <c r="Y21" s="149">
        <f t="shared" si="7"/>
        <v>414711.01729000476</v>
      </c>
      <c r="Z21" s="75"/>
      <c r="AA21" s="75"/>
    </row>
    <row r="22" spans="1:27" s="93" customFormat="1" ht="6.6" x14ac:dyDescent="0.15">
      <c r="A22" s="90"/>
      <c r="B22" s="90"/>
      <c r="C22" s="90"/>
      <c r="D22" s="90"/>
      <c r="E22" s="91"/>
      <c r="F22" s="96"/>
      <c r="G22" s="90"/>
      <c r="H22" s="90"/>
      <c r="I22" s="90"/>
      <c r="J22" s="96"/>
      <c r="K22" s="90"/>
      <c r="L22" s="90"/>
      <c r="M22" s="97"/>
      <c r="N22" s="90"/>
      <c r="O22" s="90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0"/>
      <c r="AA22" s="90"/>
    </row>
    <row r="23" spans="1:27" s="66" customFormat="1" ht="14.4" thickBot="1" x14ac:dyDescent="0.35">
      <c r="A23" s="111"/>
      <c r="B23" s="111"/>
      <c r="C23" s="111"/>
      <c r="D23" s="111"/>
      <c r="E23" s="112"/>
      <c r="F23" s="113" t="str">
        <f>KPI!$F$182</f>
        <v>Финансовый поток по операционной деятельности</v>
      </c>
      <c r="G23" s="111"/>
      <c r="H23" s="111"/>
      <c r="I23" s="111"/>
      <c r="J23" s="113" t="str">
        <f>IF($F23="","",INDEX(KPI!$I$11:$I$275,SUMIFS(KPI!$E$11:$E$275,KPI!$F$11:$F$275,$F23)))</f>
        <v>тыс.руб.</v>
      </c>
      <c r="K23" s="111"/>
      <c r="L23" s="111"/>
      <c r="M23" s="114">
        <f>SUM(O23:Z23)</f>
        <v>522127.98003563297</v>
      </c>
      <c r="N23" s="111"/>
      <c r="O23" s="111"/>
      <c r="P23" s="114">
        <f t="shared" ref="P23:Y23" si="8">P25-P31</f>
        <v>-20215.176512174476</v>
      </c>
      <c r="Q23" s="114">
        <f t="shared" si="8"/>
        <v>-69286.43632926431</v>
      </c>
      <c r="R23" s="114">
        <f t="shared" si="8"/>
        <v>-73059.978162767278</v>
      </c>
      <c r="S23" s="114">
        <f t="shared" si="8"/>
        <v>-9020.5228799340548</v>
      </c>
      <c r="T23" s="114">
        <f t="shared" si="8"/>
        <v>83597.763177909423</v>
      </c>
      <c r="U23" s="114">
        <f t="shared" si="8"/>
        <v>-51821.33292517229</v>
      </c>
      <c r="V23" s="114">
        <f t="shared" si="8"/>
        <v>255761.2229343392</v>
      </c>
      <c r="W23" s="114">
        <f t="shared" si="8"/>
        <v>116287.69960342348</v>
      </c>
      <c r="X23" s="114">
        <f t="shared" si="8"/>
        <v>406655.59703460359</v>
      </c>
      <c r="Y23" s="114">
        <f t="shared" si="8"/>
        <v>-116770.85590533027</v>
      </c>
      <c r="Z23" s="111"/>
      <c r="AA23" s="111"/>
    </row>
    <row r="24" spans="1:27" s="93" customFormat="1" ht="7.2" thickTop="1" x14ac:dyDescent="0.15">
      <c r="A24" s="115"/>
      <c r="B24" s="115"/>
      <c r="C24" s="115"/>
      <c r="D24" s="115"/>
      <c r="E24" s="116"/>
      <c r="F24" s="117"/>
      <c r="G24" s="115"/>
      <c r="H24" s="115"/>
      <c r="I24" s="115"/>
      <c r="J24" s="117"/>
      <c r="K24" s="115"/>
      <c r="L24" s="115"/>
      <c r="M24" s="118"/>
      <c r="N24" s="115"/>
      <c r="O24" s="11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5"/>
      <c r="AA24" s="115"/>
    </row>
    <row r="25" spans="1:27" s="66" customFormat="1" ht="13.8" x14ac:dyDescent="0.3">
      <c r="A25" s="111"/>
      <c r="B25" s="111"/>
      <c r="C25" s="111"/>
      <c r="D25" s="111"/>
      <c r="E25" s="112"/>
      <c r="F25" s="119" t="str">
        <f>KPI!$F$199</f>
        <v>Поступления ДС по операционной деятельности</v>
      </c>
      <c r="G25" s="111"/>
      <c r="H25" s="111"/>
      <c r="I25" s="111"/>
      <c r="J25" s="119" t="str">
        <f>IF($F25="","",INDEX(KPI!$I$11:$I$275,SUMIFS(KPI!$E$11:$E$275,KPI!$F$11:$F$275,$F25)))</f>
        <v>тыс.руб.</v>
      </c>
      <c r="K25" s="111"/>
      <c r="L25" s="111"/>
      <c r="M25" s="120">
        <f t="shared" ref="M25:M26" si="9">SUM(O25:Z25)</f>
        <v>12239504.435984243</v>
      </c>
      <c r="N25" s="111"/>
      <c r="O25" s="111"/>
      <c r="P25" s="120">
        <f t="shared" ref="P25:Y25" si="10">SUMIFS(P$26:P$30,$E$26:$E$30,1)</f>
        <v>27249.428336117933</v>
      </c>
      <c r="Q25" s="120">
        <f t="shared" si="10"/>
        <v>85233.802774380398</v>
      </c>
      <c r="R25" s="120">
        <f t="shared" si="10"/>
        <v>238753.69994656506</v>
      </c>
      <c r="S25" s="120">
        <f t="shared" si="10"/>
        <v>485153.18026170135</v>
      </c>
      <c r="T25" s="120">
        <f t="shared" si="10"/>
        <v>991863.32816282695</v>
      </c>
      <c r="U25" s="120">
        <f t="shared" si="10"/>
        <v>1408133.3321174006</v>
      </c>
      <c r="V25" s="120">
        <f t="shared" si="10"/>
        <v>1859344.4813626544</v>
      </c>
      <c r="W25" s="120">
        <f t="shared" si="10"/>
        <v>2171375.6995376558</v>
      </c>
      <c r="X25" s="120">
        <f t="shared" si="10"/>
        <v>2442223.418171268</v>
      </c>
      <c r="Y25" s="120">
        <f t="shared" si="10"/>
        <v>2530174.0653136722</v>
      </c>
      <c r="Z25" s="111"/>
      <c r="AA25" s="111"/>
    </row>
    <row r="26" spans="1:27" x14ac:dyDescent="0.25">
      <c r="A26" s="121"/>
      <c r="B26" s="121"/>
      <c r="C26" s="121"/>
      <c r="D26" s="121"/>
      <c r="E26" s="122">
        <v>1</v>
      </c>
      <c r="F26" s="123" t="str">
        <f>KPI!$F$180</f>
        <v>Поступление выручки от клиентов</v>
      </c>
      <c r="G26" s="121"/>
      <c r="H26" s="121"/>
      <c r="I26" s="121"/>
      <c r="J26" s="124" t="str">
        <f>IF($F26="","",INDEX(KPI!$I$11:$I$275,SUMIFS(KPI!$E$11:$E$275,KPI!$F$11:$F$275,$F26)))</f>
        <v>тыс.руб.</v>
      </c>
      <c r="K26" s="121"/>
      <c r="L26" s="121"/>
      <c r="M26" s="125">
        <f t="shared" si="9"/>
        <v>11557081.515787534</v>
      </c>
      <c r="N26" s="121"/>
      <c r="O26" s="121"/>
      <c r="P26" s="125">
        <f>SUMIFS(monthly!$179:$179,monthly!$9:$9,"&gt;="&amp;P$8,monthly!$9:$9,"&lt;="&amp;P$9)</f>
        <v>13036.000393548387</v>
      </c>
      <c r="Q26" s="125">
        <f>SUMIFS(monthly!$179:$179,monthly!$9:$9,"&gt;="&amp;Q$8,monthly!$9:$9,"&lt;="&amp;Q$9)</f>
        <v>74981.684309388365</v>
      </c>
      <c r="R26" s="125">
        <f>SUMIFS(monthly!$179:$179,monthly!$9:$9,"&gt;="&amp;R$8,monthly!$9:$9,"&lt;="&amp;R$9)</f>
        <v>219527.55488701933</v>
      </c>
      <c r="S26" s="125">
        <f>SUMIFS(monthly!$179:$179,monthly!$9:$9,"&gt;="&amp;S$8,monthly!$9:$9,"&lt;="&amp;S$9)</f>
        <v>460476.50446971878</v>
      </c>
      <c r="T26" s="125">
        <f>SUMIFS(monthly!$179:$179,monthly!$9:$9,"&gt;="&amp;T$8,monthly!$9:$9,"&lt;="&amp;T$9)</f>
        <v>925904.5043549086</v>
      </c>
      <c r="U26" s="125">
        <f>SUMIFS(monthly!$179:$179,monthly!$9:$9,"&gt;="&amp;U$8,monthly!$9:$9,"&lt;="&amp;U$9)</f>
        <v>1319074.9134086473</v>
      </c>
      <c r="V26" s="125">
        <f>SUMIFS(monthly!$179:$179,monthly!$9:$9,"&gt;="&amp;V$8,monthly!$9:$9,"&lt;="&amp;V$9)</f>
        <v>1754093.3586731791</v>
      </c>
      <c r="W26" s="125">
        <f>SUMIFS(monthly!$179:$179,monthly!$9:$9,"&gt;="&amp;W$8,monthly!$9:$9,"&lt;="&amp;W$9)</f>
        <v>2069439.1427116962</v>
      </c>
      <c r="X26" s="125">
        <f>SUMIFS(monthly!$179:$179,monthly!$9:$9,"&gt;="&amp;X$8,monthly!$9:$9,"&lt;="&amp;X$9)</f>
        <v>2318559.8489943403</v>
      </c>
      <c r="Y26" s="125">
        <f>SUMIFS(monthly!$179:$179,monthly!$9:$9,"&gt;="&amp;Y$8,monthly!$9:$9,"&lt;="&amp;Y$9)</f>
        <v>2401988.0035850885</v>
      </c>
      <c r="Z26" s="121"/>
      <c r="AA26" s="121"/>
    </row>
    <row r="27" spans="1:27" s="93" customFormat="1" ht="6.6" x14ac:dyDescent="0.15">
      <c r="A27" s="115"/>
      <c r="B27" s="115"/>
      <c r="C27" s="115"/>
      <c r="D27" s="115"/>
      <c r="E27" s="116"/>
      <c r="F27" s="115"/>
      <c r="G27" s="115"/>
      <c r="H27" s="115"/>
      <c r="I27" s="115"/>
      <c r="J27" s="115"/>
      <c r="K27" s="115"/>
      <c r="L27" s="115"/>
      <c r="M27" s="128"/>
      <c r="N27" s="115"/>
      <c r="O27" s="115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15"/>
      <c r="AA27" s="115"/>
    </row>
    <row r="28" spans="1:27" x14ac:dyDescent="0.25">
      <c r="A28" s="121"/>
      <c r="B28" s="121"/>
      <c r="C28" s="121"/>
      <c r="D28" s="121"/>
      <c r="E28" s="122">
        <v>1</v>
      </c>
      <c r="F28" s="129" t="str">
        <f>KPI!$F$246</f>
        <v>возмещение НДС</v>
      </c>
      <c r="G28" s="121"/>
      <c r="H28" s="121"/>
      <c r="I28" s="121"/>
      <c r="J28" s="121" t="str">
        <f>IF($F28="","",INDEX(KPI!$I$11:$I$275,SUMIFS(KPI!$E$11:$E$275,KPI!$F$11:$F$275,$F28)))</f>
        <v>тыс.руб.</v>
      </c>
      <c r="K28" s="121"/>
      <c r="L28" s="121"/>
      <c r="M28" s="130">
        <f t="shared" ref="M28" si="11">SUM(O28:Z28)</f>
        <v>682422.92019670748</v>
      </c>
      <c r="N28" s="121"/>
      <c r="O28" s="121"/>
      <c r="P28" s="130">
        <f>SUMIFS(monthly!$221:$221,monthly!$9:$9,"&gt;="&amp;P$8,monthly!$9:$9,"&lt;="&amp;P$9)</f>
        <v>14213.427942569548</v>
      </c>
      <c r="Q28" s="130">
        <f>SUMIFS(monthly!$221:$221,monthly!$9:$9,"&gt;="&amp;Q$8,monthly!$9:$9,"&lt;="&amp;Q$9)</f>
        <v>10252.11846499204</v>
      </c>
      <c r="R28" s="130">
        <f>SUMIFS(monthly!$221:$221,monthly!$9:$9,"&gt;="&amp;R$8,monthly!$9:$9,"&lt;="&amp;R$9)</f>
        <v>19226.145059545728</v>
      </c>
      <c r="S28" s="130">
        <f>SUMIFS(monthly!$221:$221,monthly!$9:$9,"&gt;="&amp;S$8,monthly!$9:$9,"&lt;="&amp;S$9)</f>
        <v>24676.67579198255</v>
      </c>
      <c r="T28" s="130">
        <f>SUMIFS(monthly!$221:$221,monthly!$9:$9,"&gt;="&amp;T$8,monthly!$9:$9,"&lt;="&amp;T$9)</f>
        <v>65958.823807918321</v>
      </c>
      <c r="U28" s="130">
        <f>SUMIFS(monthly!$221:$221,monthly!$9:$9,"&gt;="&amp;U$8,monthly!$9:$9,"&lt;="&amp;U$9)</f>
        <v>89058.418708753379</v>
      </c>
      <c r="V28" s="130">
        <f>SUMIFS(monthly!$221:$221,monthly!$9:$9,"&gt;="&amp;V$8,monthly!$9:$9,"&lt;="&amp;V$9)</f>
        <v>105251.12268947522</v>
      </c>
      <c r="W28" s="130">
        <f>SUMIFS(monthly!$221:$221,monthly!$9:$9,"&gt;="&amp;W$8,monthly!$9:$9,"&lt;="&amp;W$9)</f>
        <v>101936.55682595956</v>
      </c>
      <c r="X28" s="130">
        <f>SUMIFS(monthly!$221:$221,monthly!$9:$9,"&gt;="&amp;X$8,monthly!$9:$9,"&lt;="&amp;X$9)</f>
        <v>123663.56917692756</v>
      </c>
      <c r="Y28" s="130">
        <f>SUMIFS(monthly!$221:$221,monthly!$9:$9,"&gt;="&amp;Y$8,monthly!$9:$9,"&lt;="&amp;Y$9)</f>
        <v>128186.06172858352</v>
      </c>
      <c r="Z28" s="121"/>
      <c r="AA28" s="121"/>
    </row>
    <row r="29" spans="1:27" s="93" customFormat="1" ht="6.6" x14ac:dyDescent="0.15">
      <c r="A29" s="115"/>
      <c r="B29" s="115"/>
      <c r="C29" s="115"/>
      <c r="D29" s="115"/>
      <c r="E29" s="116"/>
      <c r="F29" s="131"/>
      <c r="G29" s="115"/>
      <c r="H29" s="115"/>
      <c r="I29" s="115"/>
      <c r="J29" s="115"/>
      <c r="K29" s="115"/>
      <c r="L29" s="115"/>
      <c r="M29" s="128"/>
      <c r="N29" s="115"/>
      <c r="O29" s="11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15"/>
      <c r="AA29" s="115"/>
    </row>
    <row r="30" spans="1:27" s="101" customFormat="1" ht="6.6" x14ac:dyDescent="0.15">
      <c r="A30" s="126"/>
      <c r="B30" s="126"/>
      <c r="C30" s="126"/>
      <c r="D30" s="126"/>
      <c r="E30" s="116"/>
      <c r="F30" s="126"/>
      <c r="G30" s="126"/>
      <c r="H30" s="126"/>
      <c r="I30" s="126"/>
      <c r="J30" s="126"/>
      <c r="K30" s="126"/>
      <c r="L30" s="126"/>
      <c r="M30" s="127"/>
      <c r="N30" s="126"/>
      <c r="O30" s="126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6"/>
      <c r="AA30" s="126"/>
    </row>
    <row r="31" spans="1:27" s="66" customFormat="1" ht="13.8" x14ac:dyDescent="0.3">
      <c r="A31" s="111"/>
      <c r="B31" s="111"/>
      <c r="C31" s="111"/>
      <c r="D31" s="111"/>
      <c r="E31" s="112"/>
      <c r="F31" s="119" t="str">
        <f>KPI!$F$181</f>
        <v>Отток ДС по операционной деятельности</v>
      </c>
      <c r="G31" s="111"/>
      <c r="H31" s="111"/>
      <c r="I31" s="111"/>
      <c r="J31" s="119" t="str">
        <f>IF($F31="","",INDEX(KPI!$I$11:$I$275,SUMIFS(KPI!$E$11:$E$275,KPI!$F$11:$F$275,$F31)))</f>
        <v>тыс.руб.</v>
      </c>
      <c r="K31" s="111"/>
      <c r="L31" s="111"/>
      <c r="M31" s="120">
        <f t="shared" ref="M31:M38" si="12">SUM(O31:Z31)</f>
        <v>11717376.45594861</v>
      </c>
      <c r="N31" s="111"/>
      <c r="O31" s="111"/>
      <c r="P31" s="120">
        <f t="shared" ref="P31:Y31" si="13">SUMIFS(P$32:P$52,$E$32:$E$52,1)</f>
        <v>47464.604848292409</v>
      </c>
      <c r="Q31" s="120">
        <f t="shared" si="13"/>
        <v>154520.23910364471</v>
      </c>
      <c r="R31" s="120">
        <f>SUMIFS(R$32:R$52,$E$32:$E$52,1)</f>
        <v>311813.67810933234</v>
      </c>
      <c r="S31" s="120">
        <f t="shared" si="13"/>
        <v>494173.7031416354</v>
      </c>
      <c r="T31" s="120">
        <f t="shared" si="13"/>
        <v>908265.56498491752</v>
      </c>
      <c r="U31" s="120">
        <f t="shared" si="13"/>
        <v>1459954.6650425729</v>
      </c>
      <c r="V31" s="120">
        <f t="shared" si="13"/>
        <v>1603583.2584283152</v>
      </c>
      <c r="W31" s="120">
        <f t="shared" si="13"/>
        <v>2055087.9999342323</v>
      </c>
      <c r="X31" s="120">
        <f t="shared" si="13"/>
        <v>2035567.8211366644</v>
      </c>
      <c r="Y31" s="120">
        <f t="shared" si="13"/>
        <v>2646944.9212190025</v>
      </c>
      <c r="Z31" s="111"/>
      <c r="AA31" s="111"/>
    </row>
    <row r="32" spans="1:27" x14ac:dyDescent="0.25">
      <c r="A32" s="121"/>
      <c r="B32" s="121"/>
      <c r="C32" s="121"/>
      <c r="D32" s="121"/>
      <c r="E32" s="122">
        <v>1</v>
      </c>
      <c r="F32" s="123" t="str">
        <f>KPI!$F$157</f>
        <v>Оплата поставщикам СиМ</v>
      </c>
      <c r="G32" s="121"/>
      <c r="H32" s="121"/>
      <c r="I32" s="121"/>
      <c r="J32" s="124" t="str">
        <f>IF($F32="","",INDEX(KPI!$I$11:$I$275,SUMIFS(KPI!$E$11:$E$275,KPI!$F$11:$F$275,$F32)))</f>
        <v>тыс.руб.</v>
      </c>
      <c r="K32" s="121"/>
      <c r="L32" s="121"/>
      <c r="M32" s="125">
        <f t="shared" si="12"/>
        <v>8720258.3881114591</v>
      </c>
      <c r="N32" s="121"/>
      <c r="O32" s="121"/>
      <c r="P32" s="125">
        <f>SUMIFS(monthly!$147:$147,monthly!$9:$9,"&gt;="&amp;P$8,monthly!$9:$9,"&lt;="&amp;P$9)</f>
        <v>16888.986056191468</v>
      </c>
      <c r="Q32" s="125">
        <f>SUMIFS(monthly!$147:$147,monthly!$9:$9,"&gt;="&amp;Q$8,monthly!$9:$9,"&lt;="&amp;Q$9)</f>
        <v>87172.258606351737</v>
      </c>
      <c r="R32" s="125">
        <f>SUMIFS(monthly!$147:$147,monthly!$9:$9,"&gt;="&amp;R$8,monthly!$9:$9,"&lt;="&amp;R$9)</f>
        <v>218255.8456367949</v>
      </c>
      <c r="S32" s="125">
        <f>SUMIFS(monthly!$147:$147,monthly!$9:$9,"&gt;="&amp;S$8,monthly!$9:$9,"&lt;="&amp;S$9)</f>
        <v>351033.94115961739</v>
      </c>
      <c r="T32" s="125">
        <f>SUMIFS(monthly!$147:$147,monthly!$9:$9,"&gt;="&amp;T$8,monthly!$9:$9,"&lt;="&amp;T$9)</f>
        <v>681011.38164716237</v>
      </c>
      <c r="U32" s="125">
        <f>SUMIFS(monthly!$147:$147,monthly!$9:$9,"&gt;="&amp;U$8,monthly!$9:$9,"&lt;="&amp;U$9)</f>
        <v>1122060.6924165338</v>
      </c>
      <c r="V32" s="125">
        <f>SUMIFS(monthly!$147:$147,monthly!$9:$9,"&gt;="&amp;V$8,monthly!$9:$9,"&lt;="&amp;V$9)</f>
        <v>1148537.0134143035</v>
      </c>
      <c r="W32" s="125">
        <f>SUMIFS(monthly!$147:$147,monthly!$9:$9,"&gt;="&amp;W$8,monthly!$9:$9,"&lt;="&amp;W$9)</f>
        <v>1582555.2094581251</v>
      </c>
      <c r="X32" s="125">
        <f>SUMIFS(monthly!$147:$147,monthly!$9:$9,"&gt;="&amp;X$8,monthly!$9:$9,"&lt;="&amp;X$9)</f>
        <v>1430978.51007395</v>
      </c>
      <c r="Y32" s="125">
        <f>SUMIFS(monthly!$147:$147,monthly!$9:$9,"&gt;="&amp;Y$8,monthly!$9:$9,"&lt;="&amp;Y$9)</f>
        <v>2081764.549642429</v>
      </c>
      <c r="Z32" s="121"/>
      <c r="AA32" s="121"/>
    </row>
    <row r="33" spans="1:27" s="93" customFormat="1" ht="6.6" x14ac:dyDescent="0.15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  <c r="M33" s="128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</row>
    <row r="34" spans="1:27" x14ac:dyDescent="0.25">
      <c r="A34" s="121"/>
      <c r="B34" s="121"/>
      <c r="C34" s="121"/>
      <c r="D34" s="121"/>
      <c r="E34" s="122">
        <v>1</v>
      </c>
      <c r="F34" s="129" t="str">
        <f>KPI!$F$161</f>
        <v>Оплата производственных расходов</v>
      </c>
      <c r="G34" s="121"/>
      <c r="H34" s="121"/>
      <c r="I34" s="121"/>
      <c r="J34" s="121" t="str">
        <f>IF($F34="","",INDEX(KPI!$I$11:$I$275,SUMIFS(KPI!$E$11:$E$275,KPI!$F$11:$F$275,$F34)))</f>
        <v>тыс.руб.</v>
      </c>
      <c r="K34" s="121"/>
      <c r="L34" s="121"/>
      <c r="M34" s="130">
        <f t="shared" ref="M34" si="14">SUM(O34:Z34)</f>
        <v>602510.83317896526</v>
      </c>
      <c r="N34" s="121"/>
      <c r="O34" s="121"/>
      <c r="P34" s="130">
        <f>SUMIFS(monthly!$153:$153,monthly!$9:$9,"&gt;="&amp;P$8,monthly!$9:$9,"&lt;="&amp;P$9)</f>
        <v>7890.3453763704483</v>
      </c>
      <c r="Q34" s="130">
        <f>SUMIFS(monthly!$153:$153,monthly!$9:$9,"&gt;="&amp;Q$8,monthly!$9:$9,"&lt;="&amp;Q$9)</f>
        <v>13801.842485116518</v>
      </c>
      <c r="R34" s="130">
        <f>SUMIFS(monthly!$153:$153,monthly!$9:$9,"&gt;="&amp;R$8,monthly!$9:$9,"&lt;="&amp;R$9)</f>
        <v>19056.165521685307</v>
      </c>
      <c r="S34" s="130">
        <f>SUMIFS(monthly!$153:$153,monthly!$9:$9,"&gt;="&amp;S$8,monthly!$9:$9,"&lt;="&amp;S$9)</f>
        <v>28281.924199399393</v>
      </c>
      <c r="T34" s="130">
        <f>SUMIFS(monthly!$153:$153,monthly!$9:$9,"&gt;="&amp;T$8,monthly!$9:$9,"&lt;="&amp;T$9)</f>
        <v>40825.426670270142</v>
      </c>
      <c r="U34" s="130">
        <f>SUMIFS(monthly!$153:$153,monthly!$9:$9,"&gt;="&amp;U$8,monthly!$9:$9,"&lt;="&amp;U$9)</f>
        <v>75804.142582491302</v>
      </c>
      <c r="V34" s="130">
        <f>SUMIFS(monthly!$153:$153,monthly!$9:$9,"&gt;="&amp;V$8,monthly!$9:$9,"&lt;="&amp;V$9)</f>
        <v>80103.725392765977</v>
      </c>
      <c r="W34" s="130">
        <f>SUMIFS(monthly!$153:$153,monthly!$9:$9,"&gt;="&amp;W$8,monthly!$9:$9,"&lt;="&amp;W$9)</f>
        <v>99430.759655271293</v>
      </c>
      <c r="X34" s="130">
        <f>SUMIFS(monthly!$153:$153,monthly!$9:$9,"&gt;="&amp;X$8,monthly!$9:$9,"&lt;="&amp;X$9)</f>
        <v>102146.0950684696</v>
      </c>
      <c r="Y34" s="130">
        <f>SUMIFS(monthly!$153:$153,monthly!$9:$9,"&gt;="&amp;Y$8,monthly!$9:$9,"&lt;="&amp;Y$9)</f>
        <v>135170.40622712523</v>
      </c>
      <c r="Z34" s="121"/>
      <c r="AA34" s="121"/>
    </row>
    <row r="35" spans="1:27" s="93" customFormat="1" ht="6.6" x14ac:dyDescent="0.15">
      <c r="A35" s="115"/>
      <c r="B35" s="115"/>
      <c r="C35" s="115"/>
      <c r="D35" s="115"/>
      <c r="E35" s="116"/>
      <c r="F35" s="131"/>
      <c r="G35" s="115"/>
      <c r="H35" s="115"/>
      <c r="I35" s="115"/>
      <c r="J35" s="115"/>
      <c r="K35" s="115"/>
      <c r="L35" s="115"/>
      <c r="M35" s="128"/>
      <c r="N35" s="115"/>
      <c r="O35" s="115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15"/>
      <c r="AA35" s="115"/>
    </row>
    <row r="36" spans="1:27" x14ac:dyDescent="0.25">
      <c r="A36" s="121"/>
      <c r="B36" s="121"/>
      <c r="C36" s="121"/>
      <c r="D36" s="121"/>
      <c r="E36" s="122">
        <v>1</v>
      </c>
      <c r="F36" s="129" t="str">
        <f>KPI!$F$165</f>
        <v>Оплата расходов логистики</v>
      </c>
      <c r="G36" s="121"/>
      <c r="H36" s="121"/>
      <c r="I36" s="121"/>
      <c r="J36" s="121" t="str">
        <f>IF($F36="","",INDEX(KPI!$I$11:$I$275,SUMIFS(KPI!$E$11:$E$275,KPI!$F$11:$F$275,$F36)))</f>
        <v>тыс.руб.</v>
      </c>
      <c r="K36" s="121"/>
      <c r="L36" s="121"/>
      <c r="M36" s="130">
        <f t="shared" ref="M36" si="15">SUM(O36:Z36)</f>
        <v>56190.037815716787</v>
      </c>
      <c r="N36" s="121"/>
      <c r="O36" s="121"/>
      <c r="P36" s="130">
        <f>SUMIFS(monthly!$159:$159,monthly!$9:$9,"&gt;="&amp;P$8,monthly!$9:$9,"&lt;="&amp;P$9)</f>
        <v>63.900000000000006</v>
      </c>
      <c r="Q36" s="130">
        <f>SUMIFS(monthly!$159:$159,monthly!$9:$9,"&gt;="&amp;Q$8,monthly!$9:$9,"&lt;="&amp;Q$9)</f>
        <v>345.39932903225815</v>
      </c>
      <c r="R36" s="130">
        <f>SUMIFS(monthly!$159:$159,monthly!$9:$9,"&gt;="&amp;R$8,monthly!$9:$9,"&lt;="&amp;R$9)</f>
        <v>1071.1766709677422</v>
      </c>
      <c r="S36" s="130">
        <f>SUMIFS(monthly!$159:$159,monthly!$9:$9,"&gt;="&amp;S$8,monthly!$9:$9,"&lt;="&amp;S$9)</f>
        <v>2076.0521624916587</v>
      </c>
      <c r="T36" s="130">
        <f>SUMIFS(monthly!$159:$159,monthly!$9:$9,"&gt;="&amp;T$8,monthly!$9:$9,"&lt;="&amp;T$9)</f>
        <v>4236.9028756645175</v>
      </c>
      <c r="U36" s="130">
        <f>SUMIFS(monthly!$159:$159,monthly!$9:$9,"&gt;="&amp;U$8,monthly!$9:$9,"&lt;="&amp;U$9)</f>
        <v>5973.2398692418083</v>
      </c>
      <c r="V36" s="130">
        <f>SUMIFS(monthly!$159:$159,monthly!$9:$9,"&gt;="&amp;V$8,monthly!$9:$9,"&lt;="&amp;V$9)</f>
        <v>8318.9851755882337</v>
      </c>
      <c r="W36" s="130">
        <f>SUMIFS(monthly!$159:$159,monthly!$9:$9,"&gt;="&amp;W$8,monthly!$9:$9,"&lt;="&amp;W$9)</f>
        <v>9864.8697798933754</v>
      </c>
      <c r="X36" s="130">
        <f>SUMIFS(monthly!$159:$159,monthly!$9:$9,"&gt;="&amp;X$8,monthly!$9:$9,"&lt;="&amp;X$9)</f>
        <v>11586.6145142526</v>
      </c>
      <c r="Y36" s="130">
        <f>SUMIFS(monthly!$159:$159,monthly!$9:$9,"&gt;="&amp;Y$8,monthly!$9:$9,"&lt;="&amp;Y$9)</f>
        <v>12652.897438584592</v>
      </c>
      <c r="Z36" s="121"/>
      <c r="AA36" s="121"/>
    </row>
    <row r="37" spans="1:27" s="93" customFormat="1" ht="6.6" x14ac:dyDescent="0.15">
      <c r="A37" s="115"/>
      <c r="B37" s="115"/>
      <c r="C37" s="115"/>
      <c r="D37" s="115"/>
      <c r="E37" s="116"/>
      <c r="F37" s="115"/>
      <c r="G37" s="115"/>
      <c r="H37" s="115"/>
      <c r="I37" s="115"/>
      <c r="J37" s="115"/>
      <c r="K37" s="115"/>
      <c r="L37" s="115"/>
      <c r="M37" s="128"/>
      <c r="N37" s="115"/>
      <c r="O37" s="115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15"/>
      <c r="AA37" s="115"/>
    </row>
    <row r="38" spans="1:27" x14ac:dyDescent="0.25">
      <c r="A38" s="121"/>
      <c r="B38" s="121"/>
      <c r="C38" s="121"/>
      <c r="D38" s="121"/>
      <c r="E38" s="122">
        <v>1</v>
      </c>
      <c r="F38" s="129" t="str">
        <f>KPI!$F$168</f>
        <v>Оплата маркетинговых расходов</v>
      </c>
      <c r="G38" s="121"/>
      <c r="H38" s="121"/>
      <c r="I38" s="121"/>
      <c r="J38" s="121" t="str">
        <f>IF($F38="","",INDEX(KPI!$I$11:$I$275,SUMIFS(KPI!$E$11:$E$275,KPI!$F$11:$F$275,$F38)))</f>
        <v>тыс.руб.</v>
      </c>
      <c r="K38" s="121"/>
      <c r="L38" s="121"/>
      <c r="M38" s="130">
        <f t="shared" si="12"/>
        <v>298297.20166125608</v>
      </c>
      <c r="N38" s="121"/>
      <c r="O38" s="121"/>
      <c r="P38" s="130">
        <f>SUMIFS(monthly!$163:$163,monthly!$9:$9,"&gt;="&amp;P$8,monthly!$9:$9,"&lt;="&amp;P$9)</f>
        <v>653.78534999999999</v>
      </c>
      <c r="Q38" s="130">
        <f>SUMIFS(monthly!$163:$163,monthly!$9:$9,"&gt;="&amp;Q$8,monthly!$9:$9,"&lt;="&amp;Q$9)</f>
        <v>3717.7009254812906</v>
      </c>
      <c r="R38" s="130">
        <f>SUMIFS(monthly!$163:$163,monthly!$9:$9,"&gt;="&amp;R$8,monthly!$9:$9,"&lt;="&amp;R$9)</f>
        <v>8792.3145061161285</v>
      </c>
      <c r="S38" s="130">
        <f>SUMIFS(monthly!$163:$163,monthly!$9:$9,"&gt;="&amp;S$8,monthly!$9:$9,"&lt;="&amp;S$9)</f>
        <v>18407.032444589422</v>
      </c>
      <c r="T38" s="130">
        <f>SUMIFS(monthly!$163:$163,monthly!$9:$9,"&gt;="&amp;T$8,monthly!$9:$9,"&lt;="&amp;T$9)</f>
        <v>27806.699014064394</v>
      </c>
      <c r="U38" s="130">
        <f>SUMIFS(monthly!$163:$163,monthly!$9:$9,"&gt;="&amp;U$8,monthly!$9:$9,"&lt;="&amp;U$9)</f>
        <v>39807.452078319489</v>
      </c>
      <c r="V38" s="130">
        <f>SUMIFS(monthly!$163:$163,monthly!$9:$9,"&gt;="&amp;V$8,monthly!$9:$9,"&lt;="&amp;V$9)</f>
        <v>52834.320290464952</v>
      </c>
      <c r="W38" s="130">
        <f>SUMIFS(monthly!$163:$163,monthly!$9:$9,"&gt;="&amp;W$8,monthly!$9:$9,"&lt;="&amp;W$9)</f>
        <v>51816.522752769823</v>
      </c>
      <c r="X38" s="130">
        <f>SUMIFS(monthly!$163:$163,monthly!$9:$9,"&gt;="&amp;X$8,monthly!$9:$9,"&lt;="&amp;X$9)</f>
        <v>46410.141724552472</v>
      </c>
      <c r="Y38" s="130">
        <f>SUMIFS(monthly!$163:$163,monthly!$9:$9,"&gt;="&amp;Y$8,monthly!$9:$9,"&lt;="&amp;Y$9)</f>
        <v>48051.232574898131</v>
      </c>
      <c r="Z38" s="121"/>
      <c r="AA38" s="121"/>
    </row>
    <row r="39" spans="1:27" s="93" customFormat="1" ht="6.6" x14ac:dyDescent="0.15">
      <c r="A39" s="115"/>
      <c r="B39" s="115"/>
      <c r="C39" s="115"/>
      <c r="D39" s="115"/>
      <c r="E39" s="116"/>
      <c r="F39" s="115"/>
      <c r="G39" s="115"/>
      <c r="H39" s="115"/>
      <c r="I39" s="115"/>
      <c r="J39" s="115"/>
      <c r="K39" s="115"/>
      <c r="L39" s="115"/>
      <c r="M39" s="128"/>
      <c r="N39" s="115"/>
      <c r="O39" s="115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15"/>
      <c r="AA39" s="115"/>
    </row>
    <row r="40" spans="1:27" x14ac:dyDescent="0.25">
      <c r="A40" s="121"/>
      <c r="B40" s="121"/>
      <c r="C40" s="121"/>
      <c r="D40" s="121"/>
      <c r="E40" s="122">
        <v>1</v>
      </c>
      <c r="F40" s="129" t="str">
        <f>KPI!$F$171</f>
        <v>Выплата ФОТ персоналу</v>
      </c>
      <c r="G40" s="121"/>
      <c r="H40" s="121"/>
      <c r="I40" s="121"/>
      <c r="J40" s="121" t="str">
        <f>IF($F40="","",INDEX(KPI!$I$11:$I$275,SUMIFS(KPI!$E$11:$E$275,KPI!$F$11:$F$275,$F40)))</f>
        <v>тыс.руб.</v>
      </c>
      <c r="K40" s="121"/>
      <c r="L40" s="121"/>
      <c r="M40" s="130">
        <f t="shared" ref="M40" si="16">SUM(O40:Z40)</f>
        <v>744688.67297647067</v>
      </c>
      <c r="N40" s="121"/>
      <c r="O40" s="121"/>
      <c r="P40" s="130">
        <f>SUMIFS(monthly!$167:$167,monthly!$9:$9,"&gt;="&amp;P$8,monthly!$9:$9,"&lt;="&amp;P$9)</f>
        <v>16498.328349916756</v>
      </c>
      <c r="Q40" s="130">
        <f>SUMIFS(monthly!$167:$167,monthly!$9:$9,"&gt;="&amp;Q$8,monthly!$9:$9,"&lt;="&amp;Q$9)</f>
        <v>34169.212940939033</v>
      </c>
      <c r="R40" s="130">
        <f>SUMIFS(monthly!$167:$167,monthly!$9:$9,"&gt;="&amp;R$8,monthly!$9:$9,"&lt;="&amp;R$9)</f>
        <v>39803.952359643903</v>
      </c>
      <c r="S40" s="130">
        <f>SUMIFS(monthly!$167:$167,monthly!$9:$9,"&gt;="&amp;S$8,monthly!$9:$9,"&lt;="&amp;S$9)</f>
        <v>48676.388109107676</v>
      </c>
      <c r="T40" s="130">
        <f>SUMIFS(monthly!$167:$167,monthly!$9:$9,"&gt;="&amp;T$8,monthly!$9:$9,"&lt;="&amp;T$9)</f>
        <v>62261.558747252799</v>
      </c>
      <c r="U40" s="130">
        <f>SUMIFS(monthly!$167:$167,monthly!$9:$9,"&gt;="&amp;U$8,monthly!$9:$9,"&lt;="&amp;U$9)</f>
        <v>86748.139162296604</v>
      </c>
      <c r="V40" s="130">
        <f>SUMIFS(monthly!$167:$167,monthly!$9:$9,"&gt;="&amp;V$8,monthly!$9:$9,"&lt;="&amp;V$9)</f>
        <v>94064.811372736265</v>
      </c>
      <c r="W40" s="130">
        <f>SUMIFS(monthly!$167:$167,monthly!$9:$9,"&gt;="&amp;W$8,monthly!$9:$9,"&lt;="&amp;W$9)</f>
        <v>106670.21869083334</v>
      </c>
      <c r="X40" s="130">
        <f>SUMIFS(monthly!$167:$167,monthly!$9:$9,"&gt;="&amp;X$8,monthly!$9:$9,"&lt;="&amp;X$9)</f>
        <v>124909.4453386481</v>
      </c>
      <c r="Y40" s="130">
        <f>SUMIFS(monthly!$167:$167,monthly!$9:$9,"&gt;="&amp;Y$8,monthly!$9:$9,"&lt;="&amp;Y$9)</f>
        <v>130886.6179050963</v>
      </c>
      <c r="Z40" s="121"/>
      <c r="AA40" s="121"/>
    </row>
    <row r="41" spans="1:27" s="93" customFormat="1" ht="6.6" x14ac:dyDescent="0.15">
      <c r="A41" s="115"/>
      <c r="B41" s="115"/>
      <c r="C41" s="115"/>
      <c r="D41" s="115"/>
      <c r="E41" s="116"/>
      <c r="F41" s="131"/>
      <c r="G41" s="115"/>
      <c r="H41" s="115"/>
      <c r="I41" s="115"/>
      <c r="J41" s="115"/>
      <c r="K41" s="115"/>
      <c r="L41" s="115"/>
      <c r="M41" s="128"/>
      <c r="N41" s="115"/>
      <c r="O41" s="115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15"/>
      <c r="AA41" s="115"/>
    </row>
    <row r="42" spans="1:27" x14ac:dyDescent="0.25">
      <c r="A42" s="121"/>
      <c r="B42" s="121"/>
      <c r="C42" s="121"/>
      <c r="D42" s="121"/>
      <c r="E42" s="122">
        <v>1</v>
      </c>
      <c r="F42" s="129" t="str">
        <f>KPI!$F$174</f>
        <v>Оплата соц. сборов</v>
      </c>
      <c r="G42" s="121"/>
      <c r="H42" s="121"/>
      <c r="I42" s="121"/>
      <c r="J42" s="121" t="str">
        <f>IF($F42="","",INDEX(KPI!$I$11:$I$275,SUMIFS(KPI!$E$11:$E$275,KPI!$F$11:$F$275,$F42)))</f>
        <v>тыс.руб.</v>
      </c>
      <c r="K42" s="121"/>
      <c r="L42" s="121"/>
      <c r="M42" s="130">
        <f t="shared" ref="M42" si="17">SUM(O42:Z42)</f>
        <v>222417.29469049946</v>
      </c>
      <c r="N42" s="121"/>
      <c r="O42" s="121"/>
      <c r="P42" s="130">
        <f>SUMIFS(monthly!$171:$171,monthly!$9:$9,"&gt;="&amp;P$8,monthly!$9:$9,"&lt;="&amp;P$9)</f>
        <v>4949.4985049750267</v>
      </c>
      <c r="Q42" s="130">
        <f>SUMIFS(monthly!$171:$171,monthly!$9:$9,"&gt;="&amp;Q$8,monthly!$9:$9,"&lt;="&amp;Q$9)</f>
        <v>10250.763882281713</v>
      </c>
      <c r="R42" s="130">
        <f>SUMIFS(monthly!$171:$171,monthly!$9:$9,"&gt;="&amp;R$8,monthly!$9:$9,"&lt;="&amp;R$9)</f>
        <v>11941.18570789317</v>
      </c>
      <c r="S42" s="130">
        <f>SUMIFS(monthly!$171:$171,monthly!$9:$9,"&gt;="&amp;S$8,monthly!$9:$9,"&lt;="&amp;S$9)</f>
        <v>14547.813790360506</v>
      </c>
      <c r="T42" s="130">
        <f>SUMIFS(monthly!$171:$171,monthly!$9:$9,"&gt;="&amp;T$8,monthly!$9:$9,"&lt;="&amp;T$9)</f>
        <v>17446.724178016713</v>
      </c>
      <c r="U42" s="130">
        <f>SUMIFS(monthly!$171:$171,monthly!$9:$9,"&gt;="&amp;U$8,monthly!$9:$9,"&lt;="&amp;U$9)</f>
        <v>26361.192044051029</v>
      </c>
      <c r="V42" s="130">
        <f>SUMIFS(monthly!$171:$171,monthly!$9:$9,"&gt;="&amp;V$8,monthly!$9:$9,"&lt;="&amp;V$9)</f>
        <v>27556.077899534073</v>
      </c>
      <c r="W42" s="130">
        <f>SUMIFS(monthly!$171:$171,monthly!$9:$9,"&gt;="&amp;W$8,monthly!$9:$9,"&lt;="&amp;W$9)</f>
        <v>32619.855934919269</v>
      </c>
      <c r="X42" s="130">
        <f>SUMIFS(monthly!$171:$171,monthly!$9:$9,"&gt;="&amp;X$8,monthly!$9:$9,"&lt;="&amp;X$9)</f>
        <v>36111.9641997242</v>
      </c>
      <c r="Y42" s="130">
        <f>SUMIFS(monthly!$171:$171,monthly!$9:$9,"&gt;="&amp;Y$8,monthly!$9:$9,"&lt;="&amp;Y$9)</f>
        <v>40632.218548743753</v>
      </c>
      <c r="Z42" s="121"/>
      <c r="AA42" s="121"/>
    </row>
    <row r="43" spans="1:27" s="93" customFormat="1" ht="6.6" x14ac:dyDescent="0.15">
      <c r="A43" s="115"/>
      <c r="B43" s="115"/>
      <c r="C43" s="115"/>
      <c r="D43" s="115"/>
      <c r="E43" s="116"/>
      <c r="F43" s="115"/>
      <c r="G43" s="115"/>
      <c r="H43" s="115"/>
      <c r="I43" s="115"/>
      <c r="J43" s="115"/>
      <c r="K43" s="115"/>
      <c r="L43" s="115"/>
      <c r="M43" s="128"/>
      <c r="N43" s="115"/>
      <c r="O43" s="115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15"/>
      <c r="AA43" s="115"/>
    </row>
    <row r="44" spans="1:27" x14ac:dyDescent="0.25">
      <c r="A44" s="121"/>
      <c r="B44" s="121"/>
      <c r="C44" s="121"/>
      <c r="D44" s="121"/>
      <c r="E44" s="122">
        <v>1</v>
      </c>
      <c r="F44" s="129" t="str">
        <f>KPI!$F$177</f>
        <v>Оплата АНХ расходов</v>
      </c>
      <c r="G44" s="121"/>
      <c r="H44" s="121"/>
      <c r="I44" s="121"/>
      <c r="J44" s="121" t="str">
        <f>IF($F44="","",INDEX(KPI!$I$11:$I$275,SUMIFS(KPI!$E$11:$E$275,KPI!$F$11:$F$275,$F44)))</f>
        <v>тыс.руб.</v>
      </c>
      <c r="K44" s="121"/>
      <c r="L44" s="121"/>
      <c r="M44" s="130">
        <f t="shared" ref="M44" si="18">SUM(O44:Z44)</f>
        <v>15245.612948022892</v>
      </c>
      <c r="N44" s="121"/>
      <c r="O44" s="121"/>
      <c r="P44" s="130">
        <f>SUMIFS(monthly!$175:$175,monthly!$9:$9,"&gt;="&amp;P$8,monthly!$9:$9,"&lt;="&amp;P$9)</f>
        <v>424</v>
      </c>
      <c r="Q44" s="130">
        <f>SUMIFS(monthly!$175:$175,monthly!$9:$9,"&gt;="&amp;Q$8,monthly!$9:$9,"&lt;="&amp;Q$9)</f>
        <v>780.75000000000011</v>
      </c>
      <c r="R44" s="130">
        <f>SUMIFS(monthly!$175:$175,monthly!$9:$9,"&gt;="&amp;R$8,monthly!$9:$9,"&lt;="&amp;R$9)</f>
        <v>862.35096774193562</v>
      </c>
      <c r="S44" s="130">
        <f>SUMIFS(monthly!$175:$175,monthly!$9:$9,"&gt;="&amp;S$8,monthly!$9:$9,"&lt;="&amp;S$9)</f>
        <v>989.75096169076789</v>
      </c>
      <c r="T44" s="130">
        <f>SUMIFS(monthly!$175:$175,monthly!$9:$9,"&gt;="&amp;T$8,monthly!$9:$9,"&lt;="&amp;T$9)</f>
        <v>1203.7472986296777</v>
      </c>
      <c r="U44" s="130">
        <f>SUMIFS(monthly!$175:$175,monthly!$9:$9,"&gt;="&amp;U$8,monthly!$9:$9,"&lt;="&amp;U$9)</f>
        <v>1749.5378589425811</v>
      </c>
      <c r="V44" s="130">
        <f>SUMIFS(monthly!$175:$175,monthly!$9:$9,"&gt;="&amp;V$8,monthly!$9:$9,"&lt;="&amp;V$9)</f>
        <v>1837.0147518897106</v>
      </c>
      <c r="W44" s="130">
        <f>SUMIFS(monthly!$175:$175,monthly!$9:$9,"&gt;="&amp;W$8,monthly!$9:$9,"&lt;="&amp;W$9)</f>
        <v>2025.2254022245465</v>
      </c>
      <c r="X44" s="130">
        <f>SUMIFS(monthly!$175:$175,monthly!$9:$9,"&gt;="&amp;X$8,monthly!$9:$9,"&lt;="&amp;X$9)</f>
        <v>2673.2515954744636</v>
      </c>
      <c r="Y44" s="130">
        <f>SUMIFS(monthly!$175:$175,monthly!$9:$9,"&gt;="&amp;Y$8,monthly!$9:$9,"&lt;="&amp;Y$9)</f>
        <v>2699.9841114292085</v>
      </c>
      <c r="Z44" s="121"/>
      <c r="AA44" s="121"/>
    </row>
    <row r="45" spans="1:27" s="93" customFormat="1" ht="6.6" x14ac:dyDescent="0.15">
      <c r="A45" s="115"/>
      <c r="B45" s="115"/>
      <c r="C45" s="115"/>
      <c r="D45" s="115"/>
      <c r="E45" s="116"/>
      <c r="F45" s="115"/>
      <c r="G45" s="115"/>
      <c r="H45" s="115"/>
      <c r="I45" s="115"/>
      <c r="J45" s="115"/>
      <c r="K45" s="115"/>
      <c r="L45" s="115"/>
      <c r="M45" s="128"/>
      <c r="N45" s="115"/>
      <c r="O45" s="115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15"/>
      <c r="AA45" s="115"/>
    </row>
    <row r="46" spans="1:27" x14ac:dyDescent="0.25">
      <c r="A46" s="121"/>
      <c r="B46" s="121"/>
      <c r="C46" s="121"/>
      <c r="D46" s="121"/>
      <c r="E46" s="122">
        <v>1</v>
      </c>
      <c r="F46" s="129" t="str">
        <f>KPI!$F$242</f>
        <v>Оплата налога на имущество</v>
      </c>
      <c r="G46" s="121"/>
      <c r="H46" s="121"/>
      <c r="I46" s="121"/>
      <c r="J46" s="121" t="str">
        <f>IF($F46="","",INDEX(KPI!$I$11:$I$275,SUMIFS(KPI!$E$11:$E$275,KPI!$F$11:$F$275,$F46)))</f>
        <v>тыс.руб.</v>
      </c>
      <c r="K46" s="121"/>
      <c r="L46" s="121"/>
      <c r="M46" s="130">
        <f t="shared" ref="M46" si="19">SUM(O46:Z46)</f>
        <v>6034.3288723655178</v>
      </c>
      <c r="N46" s="121"/>
      <c r="O46" s="121"/>
      <c r="P46" s="130">
        <f>PL_f!O37</f>
        <v>0</v>
      </c>
      <c r="Q46" s="130">
        <f>PL_f!P37</f>
        <v>296.77083333333331</v>
      </c>
      <c r="R46" s="130">
        <f>PL_f!Q37</f>
        <v>561.45833333333337</v>
      </c>
      <c r="S46" s="130">
        <f>PL_f!R37</f>
        <v>497.29166666666669</v>
      </c>
      <c r="T46" s="130">
        <f>PL_f!S37</f>
        <v>433.12500000000006</v>
      </c>
      <c r="U46" s="130">
        <f>PL_f!T37</f>
        <v>650.86897168027804</v>
      </c>
      <c r="V46" s="130">
        <f>PL_f!U37</f>
        <v>839.44977387638903</v>
      </c>
      <c r="W46" s="130">
        <f>PL_f!V37</f>
        <v>716.95676824138877</v>
      </c>
      <c r="X46" s="130">
        <f>PL_f!W37</f>
        <v>929.92347252318291</v>
      </c>
      <c r="Y46" s="130">
        <f>PL_f!X37</f>
        <v>1108.4840527109463</v>
      </c>
      <c r="Z46" s="121"/>
      <c r="AA46" s="121"/>
    </row>
    <row r="47" spans="1:27" s="93" customFormat="1" ht="6.6" x14ac:dyDescent="0.15">
      <c r="A47" s="115"/>
      <c r="B47" s="115"/>
      <c r="C47" s="115"/>
      <c r="D47" s="115"/>
      <c r="E47" s="116"/>
      <c r="F47" s="115"/>
      <c r="G47" s="115"/>
      <c r="H47" s="115"/>
      <c r="I47" s="115"/>
      <c r="J47" s="115"/>
      <c r="K47" s="115"/>
      <c r="L47" s="115"/>
      <c r="M47" s="128"/>
      <c r="N47" s="115"/>
      <c r="O47" s="115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15"/>
      <c r="AA47" s="115"/>
    </row>
    <row r="48" spans="1:27" x14ac:dyDescent="0.25">
      <c r="A48" s="121"/>
      <c r="B48" s="121"/>
      <c r="C48" s="121"/>
      <c r="D48" s="121"/>
      <c r="E48" s="122">
        <v>1</v>
      </c>
      <c r="F48" s="129" t="str">
        <f>KPI!$F$244</f>
        <v>Оплата налога на прибыль</v>
      </c>
      <c r="G48" s="121"/>
      <c r="H48" s="121"/>
      <c r="I48" s="121"/>
      <c r="J48" s="121" t="str">
        <f>IF($F48="","",INDEX(KPI!$I$11:$I$275,SUMIFS(KPI!$E$11:$E$275,KPI!$F$11:$F$275,$F48)))</f>
        <v>тыс.руб.</v>
      </c>
      <c r="K48" s="121"/>
      <c r="L48" s="121"/>
      <c r="M48" s="130">
        <f t="shared" ref="M48" si="20">SUM(O48:Z48)</f>
        <v>140552.49239191564</v>
      </c>
      <c r="N48" s="121"/>
      <c r="O48" s="121"/>
      <c r="P48" s="130">
        <f>PL_f!O50</f>
        <v>0</v>
      </c>
      <c r="Q48" s="130">
        <f>PL_f!P50</f>
        <v>0</v>
      </c>
      <c r="R48" s="130">
        <f>PL_f!Q50</f>
        <v>0</v>
      </c>
      <c r="S48" s="130">
        <f>PL_f!R50</f>
        <v>0</v>
      </c>
      <c r="T48" s="130">
        <f>PL_f!S50</f>
        <v>0</v>
      </c>
      <c r="U48" s="130">
        <f>PL_f!T50</f>
        <v>5904.1644380167245</v>
      </c>
      <c r="V48" s="130">
        <f>PL_f!U50</f>
        <v>16258.990043819249</v>
      </c>
      <c r="W48" s="130">
        <f>PL_f!V50</f>
        <v>31594.343572676382</v>
      </c>
      <c r="X48" s="130">
        <f>PL_f!W50</f>
        <v>42375.660400574954</v>
      </c>
      <c r="Y48" s="130">
        <f>PL_f!X50</f>
        <v>44419.333936828349</v>
      </c>
      <c r="Z48" s="121"/>
      <c r="AA48" s="121"/>
    </row>
    <row r="49" spans="1:27" s="93" customFormat="1" ht="6.6" x14ac:dyDescent="0.15">
      <c r="A49" s="115"/>
      <c r="B49" s="115"/>
      <c r="C49" s="115"/>
      <c r="D49" s="115"/>
      <c r="E49" s="116"/>
      <c r="F49" s="115"/>
      <c r="G49" s="115"/>
      <c r="H49" s="115"/>
      <c r="I49" s="115"/>
      <c r="J49" s="115"/>
      <c r="K49" s="115"/>
      <c r="L49" s="115"/>
      <c r="M49" s="128"/>
      <c r="N49" s="115"/>
      <c r="O49" s="115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15"/>
      <c r="AA49" s="115"/>
    </row>
    <row r="50" spans="1:27" x14ac:dyDescent="0.25">
      <c r="A50" s="121"/>
      <c r="B50" s="121"/>
      <c r="C50" s="121"/>
      <c r="D50" s="121"/>
      <c r="E50" s="122">
        <v>1</v>
      </c>
      <c r="F50" s="129" t="str">
        <f>KPI!$F$247</f>
        <v>оплата НДС</v>
      </c>
      <c r="G50" s="121"/>
      <c r="H50" s="121"/>
      <c r="I50" s="121"/>
      <c r="J50" s="121" t="str">
        <f>IF($F50="","",INDEX(KPI!$I$11:$I$275,SUMIFS(KPI!$E$11:$E$275,KPI!$F$11:$F$275,$F50)))</f>
        <v>тыс.руб.</v>
      </c>
      <c r="K50" s="121"/>
      <c r="L50" s="121"/>
      <c r="M50" s="130">
        <f t="shared" ref="M50" si="21">SUM(O50:Z50)</f>
        <v>911181.59330193815</v>
      </c>
      <c r="N50" s="121"/>
      <c r="O50" s="121"/>
      <c r="P50" s="130">
        <f>SUMIFS(monthly!$223:$223,monthly!$9:$9,"&gt;="&amp;P$8,monthly!$9:$9,"&lt;="&amp;P$9)</f>
        <v>95.761210838709715</v>
      </c>
      <c r="Q50" s="130">
        <f>SUMIFS(monthly!$223:$223,monthly!$9:$9,"&gt;="&amp;Q$8,monthly!$9:$9,"&lt;="&amp;Q$9)</f>
        <v>3985.5401011088161</v>
      </c>
      <c r="R50" s="130">
        <f>SUMIFS(monthly!$223:$223,monthly!$9:$9,"&gt;="&amp;R$8,monthly!$9:$9,"&lt;="&amp;R$9)</f>
        <v>11469.228405156004</v>
      </c>
      <c r="S50" s="130">
        <f>SUMIFS(monthly!$223:$223,monthly!$9:$9,"&gt;="&amp;S$8,monthly!$9:$9,"&lt;="&amp;S$9)</f>
        <v>29663.508647711838</v>
      </c>
      <c r="T50" s="130">
        <f>SUMIFS(monthly!$223:$223,monthly!$9:$9,"&gt;="&amp;T$8,monthly!$9:$9,"&lt;="&amp;T$9)</f>
        <v>73039.999553856818</v>
      </c>
      <c r="U50" s="130">
        <f>SUMIFS(monthly!$223:$223,monthly!$9:$9,"&gt;="&amp;U$8,monthly!$9:$9,"&lt;="&amp;U$9)</f>
        <v>94895.235620999214</v>
      </c>
      <c r="V50" s="130">
        <f>SUMIFS(monthly!$223:$223,monthly!$9:$9,"&gt;="&amp;V$8,monthly!$9:$9,"&lt;="&amp;V$9)</f>
        <v>173232.8703133369</v>
      </c>
      <c r="W50" s="130">
        <f>SUMIFS(monthly!$223:$223,monthly!$9:$9,"&gt;="&amp;W$8,monthly!$9:$9,"&lt;="&amp;W$9)</f>
        <v>137794.03791927773</v>
      </c>
      <c r="X50" s="130">
        <f>SUMIFS(monthly!$223:$223,monthly!$9:$9,"&gt;="&amp;X$8,monthly!$9:$9,"&lt;="&amp;X$9)</f>
        <v>237446.21474849447</v>
      </c>
      <c r="Y50" s="130">
        <f>SUMIFS(monthly!$223:$223,monthly!$9:$9,"&gt;="&amp;Y$8,monthly!$9:$9,"&lt;="&amp;Y$9)</f>
        <v>149559.19678115757</v>
      </c>
      <c r="Z50" s="121"/>
      <c r="AA50" s="121"/>
    </row>
    <row r="51" spans="1:27" s="93" customFormat="1" ht="6.6" x14ac:dyDescent="0.15">
      <c r="A51" s="115"/>
      <c r="B51" s="115"/>
      <c r="C51" s="115"/>
      <c r="D51" s="115"/>
      <c r="E51" s="116"/>
      <c r="F51" s="115"/>
      <c r="G51" s="115"/>
      <c r="H51" s="115"/>
      <c r="I51" s="115"/>
      <c r="J51" s="115"/>
      <c r="K51" s="115"/>
      <c r="L51" s="115"/>
      <c r="M51" s="128"/>
      <c r="N51" s="115"/>
      <c r="O51" s="115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15"/>
      <c r="AA51" s="115"/>
    </row>
    <row r="52" spans="1:27" s="101" customFormat="1" ht="6.6" x14ac:dyDescent="0.15">
      <c r="A52" s="126"/>
      <c r="B52" s="126"/>
      <c r="C52" s="126"/>
      <c r="D52" s="126"/>
      <c r="E52" s="116"/>
      <c r="F52" s="132"/>
      <c r="G52" s="132"/>
      <c r="H52" s="132"/>
      <c r="I52" s="132"/>
      <c r="J52" s="132"/>
      <c r="K52" s="132"/>
      <c r="L52" s="132"/>
      <c r="M52" s="133"/>
      <c r="N52" s="132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26"/>
      <c r="AA52" s="126"/>
    </row>
    <row r="53" spans="1:27" s="66" customFormat="1" ht="14.4" thickBot="1" x14ac:dyDescent="0.35">
      <c r="A53" s="65"/>
      <c r="B53" s="65"/>
      <c r="C53" s="65"/>
      <c r="D53" s="65"/>
      <c r="E53" s="72"/>
      <c r="F53" s="83" t="str">
        <f>KPI!$F$200</f>
        <v>Финансовый поток по финансовой деятельности</v>
      </c>
      <c r="G53" s="65"/>
      <c r="H53" s="65"/>
      <c r="I53" s="65"/>
      <c r="J53" s="83" t="str">
        <f>IF($F53="","",INDEX(KPI!$I$11:$I$275,SUMIFS(KPI!$E$11:$E$275,KPI!$F$11:$F$275,$F53)))</f>
        <v>тыс.руб.</v>
      </c>
      <c r="K53" s="65"/>
      <c r="L53" s="65"/>
      <c r="M53" s="84">
        <f>SUM(O53:Z53)</f>
        <v>-107416.96274562867</v>
      </c>
      <c r="N53" s="65"/>
      <c r="O53" s="65"/>
      <c r="P53" s="84">
        <f>P55-P58</f>
        <v>20215.176512174465</v>
      </c>
      <c r="Q53" s="84">
        <f t="shared" ref="Q53:Y53" si="22">Q55-Q58</f>
        <v>69286.436329264267</v>
      </c>
      <c r="R53" s="84">
        <f t="shared" si="22"/>
        <v>73059.978162767366</v>
      </c>
      <c r="S53" s="84">
        <f t="shared" si="22"/>
        <v>9020.5228799339675</v>
      </c>
      <c r="T53" s="84">
        <f t="shared" si="22"/>
        <v>-83597.763177909481</v>
      </c>
      <c r="U53" s="84">
        <f t="shared" si="22"/>
        <v>51821.332925171999</v>
      </c>
      <c r="V53" s="84">
        <f t="shared" si="22"/>
        <v>-245823.40594890126</v>
      </c>
      <c r="W53" s="84">
        <f t="shared" si="22"/>
        <v>-1399.2404281299969</v>
      </c>
      <c r="X53" s="84">
        <f t="shared" si="22"/>
        <v>0</v>
      </c>
      <c r="Y53" s="84">
        <f t="shared" si="22"/>
        <v>0</v>
      </c>
      <c r="Z53" s="65"/>
      <c r="AA53" s="65"/>
    </row>
    <row r="54" spans="1:27" s="93" customFormat="1" ht="7.2" thickTop="1" x14ac:dyDescent="0.15">
      <c r="A54" s="90"/>
      <c r="B54" s="90"/>
      <c r="C54" s="90"/>
      <c r="D54" s="90"/>
      <c r="E54" s="91"/>
      <c r="F54" s="94"/>
      <c r="G54" s="90"/>
      <c r="H54" s="90"/>
      <c r="I54" s="90"/>
      <c r="J54" s="94"/>
      <c r="K54" s="90"/>
      <c r="L54" s="90"/>
      <c r="M54" s="95"/>
      <c r="N54" s="90"/>
      <c r="O54" s="90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0"/>
      <c r="AA54" s="90"/>
    </row>
    <row r="55" spans="1:27" s="66" customFormat="1" ht="13.8" x14ac:dyDescent="0.3">
      <c r="A55" s="65"/>
      <c r="B55" s="65"/>
      <c r="C55" s="65"/>
      <c r="D55" s="65"/>
      <c r="E55" s="72"/>
      <c r="F55" s="85" t="str">
        <f>KPI!$F$201</f>
        <v>Поступления ДС по финансовой деятельности</v>
      </c>
      <c r="G55" s="65"/>
      <c r="H55" s="65"/>
      <c r="I55" s="65"/>
      <c r="J55" s="85" t="str">
        <f>IF($F55="","",INDEX(KPI!$I$11:$I$275,SUMIFS(KPI!$E$11:$E$275,KPI!$F$11:$F$275,$F55)))</f>
        <v>тыс.руб.</v>
      </c>
      <c r="K55" s="65"/>
      <c r="L55" s="65"/>
      <c r="M55" s="88">
        <f t="shared" ref="M55:M56" si="23">SUM(O55:Z55)</f>
        <v>1752554.6215076002</v>
      </c>
      <c r="N55" s="65"/>
      <c r="O55" s="65"/>
      <c r="P55" s="88">
        <f>SUMIFS(P$56:P$57,$E$56:$E$57,1)</f>
        <v>23399.15347197319</v>
      </c>
      <c r="Q55" s="88">
        <f t="shared" ref="Q55:Y55" si="24">SUMIFS(Q$56:Q$57,$E$56:$E$57,1)</f>
        <v>80770.905357536307</v>
      </c>
      <c r="R55" s="88">
        <f t="shared" si="24"/>
        <v>129017.96399157293</v>
      </c>
      <c r="S55" s="88">
        <f t="shared" si="24"/>
        <v>188080.1266870976</v>
      </c>
      <c r="T55" s="88">
        <f t="shared" si="24"/>
        <v>307023.36101935821</v>
      </c>
      <c r="U55" s="88">
        <f t="shared" si="24"/>
        <v>545732.37326604384</v>
      </c>
      <c r="V55" s="88">
        <f t="shared" si="24"/>
        <v>394576.31202621834</v>
      </c>
      <c r="W55" s="88">
        <f t="shared" si="24"/>
        <v>83954.425687799725</v>
      </c>
      <c r="X55" s="88">
        <f t="shared" si="24"/>
        <v>0</v>
      </c>
      <c r="Y55" s="88">
        <f t="shared" si="24"/>
        <v>0</v>
      </c>
      <c r="Z55" s="65"/>
      <c r="AA55" s="65"/>
    </row>
    <row r="56" spans="1:27" x14ac:dyDescent="0.25">
      <c r="A56" s="3"/>
      <c r="B56" s="3"/>
      <c r="C56" s="3"/>
      <c r="D56" s="3"/>
      <c r="E56" s="55">
        <v>1</v>
      </c>
      <c r="F56" s="86" t="str">
        <f>KPI!$F$186</f>
        <v>Объем поступлений кредитных средств</v>
      </c>
      <c r="G56" s="3"/>
      <c r="H56" s="3"/>
      <c r="I56" s="3"/>
      <c r="J56" s="87" t="str">
        <f>IF($F56="","",INDEX(KPI!$I$11:$I$275,SUMIFS(KPI!$E$11:$E$275,KPI!$F$11:$F$275,$F56)))</f>
        <v>тыс.руб.</v>
      </c>
      <c r="K56" s="3"/>
      <c r="L56" s="3"/>
      <c r="M56" s="89">
        <f t="shared" si="23"/>
        <v>1752554.6215076002</v>
      </c>
      <c r="N56" s="3"/>
      <c r="O56" s="3"/>
      <c r="P56" s="89">
        <f>SUMIFS(monthly!$189:$189,monthly!$9:$9,"&gt;="&amp;P$8,monthly!$9:$9,"&lt;="&amp;P$9)</f>
        <v>23399.15347197319</v>
      </c>
      <c r="Q56" s="89">
        <f>SUMIFS(monthly!$189:$189,monthly!$9:$9,"&gt;="&amp;Q$8,monthly!$9:$9,"&lt;="&amp;Q$9)</f>
        <v>80770.905357536307</v>
      </c>
      <c r="R56" s="89">
        <f>SUMIFS(monthly!$189:$189,monthly!$9:$9,"&gt;="&amp;R$8,monthly!$9:$9,"&lt;="&amp;R$9)</f>
        <v>129017.96399157293</v>
      </c>
      <c r="S56" s="89">
        <f>SUMIFS(monthly!$189:$189,monthly!$9:$9,"&gt;="&amp;S$8,monthly!$9:$9,"&lt;="&amp;S$9)</f>
        <v>188080.1266870976</v>
      </c>
      <c r="T56" s="89">
        <f>SUMIFS(monthly!$189:$189,monthly!$9:$9,"&gt;="&amp;T$8,monthly!$9:$9,"&lt;="&amp;T$9)</f>
        <v>307023.36101935821</v>
      </c>
      <c r="U56" s="89">
        <f>SUMIFS(monthly!$189:$189,monthly!$9:$9,"&gt;="&amp;U$8,monthly!$9:$9,"&lt;="&amp;U$9)</f>
        <v>545732.37326604384</v>
      </c>
      <c r="V56" s="89">
        <f>SUMIFS(monthly!$189:$189,monthly!$9:$9,"&gt;="&amp;V$8,monthly!$9:$9,"&lt;="&amp;V$9)</f>
        <v>394576.31202621834</v>
      </c>
      <c r="W56" s="89">
        <f>SUMIFS(monthly!$189:$189,monthly!$9:$9,"&gt;="&amp;W$8,monthly!$9:$9,"&lt;="&amp;W$9)</f>
        <v>83954.425687799725</v>
      </c>
      <c r="X56" s="89">
        <f>SUMIFS(monthly!$189:$189,monthly!$9:$9,"&gt;="&amp;X$8,monthly!$9:$9,"&lt;="&amp;X$9)</f>
        <v>0</v>
      </c>
      <c r="Y56" s="89">
        <f>SUMIFS(monthly!$189:$189,monthly!$9:$9,"&gt;="&amp;Y$8,monthly!$9:$9,"&lt;="&amp;Y$9)</f>
        <v>0</v>
      </c>
      <c r="Z56" s="3"/>
      <c r="AA56" s="3"/>
    </row>
    <row r="57" spans="1:27" s="101" customFormat="1" ht="6.6" x14ac:dyDescent="0.15">
      <c r="A57" s="99"/>
      <c r="B57" s="99"/>
      <c r="C57" s="99"/>
      <c r="D57" s="99"/>
      <c r="E57" s="91"/>
      <c r="F57" s="99"/>
      <c r="G57" s="99"/>
      <c r="H57" s="99"/>
      <c r="I57" s="99"/>
      <c r="J57" s="99"/>
      <c r="K57" s="99"/>
      <c r="L57" s="99"/>
      <c r="M57" s="100"/>
      <c r="N57" s="99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99"/>
      <c r="AA57" s="99"/>
    </row>
    <row r="58" spans="1:27" s="66" customFormat="1" ht="13.8" x14ac:dyDescent="0.3">
      <c r="A58" s="65"/>
      <c r="B58" s="65"/>
      <c r="C58" s="65"/>
      <c r="D58" s="65"/>
      <c r="E58" s="72"/>
      <c r="F58" s="85" t="str">
        <f>KPI!$F$202</f>
        <v>Отток ДС по финансовой деятельности</v>
      </c>
      <c r="G58" s="65"/>
      <c r="H58" s="65"/>
      <c r="I58" s="65"/>
      <c r="J58" s="85" t="str">
        <f>IF($F58="","",INDEX(KPI!$I$11:$I$275,SUMIFS(KPI!$E$11:$E$275,KPI!$F$11:$F$275,$F58)))</f>
        <v>тыс.руб.</v>
      </c>
      <c r="K58" s="65"/>
      <c r="L58" s="65"/>
      <c r="M58" s="88">
        <f t="shared" ref="M58:M59" si="25">SUM(O58:Z58)</f>
        <v>1859971.5842532287</v>
      </c>
      <c r="N58" s="65"/>
      <c r="O58" s="65"/>
      <c r="P58" s="88">
        <f>SUMIFS(P$59:P$63,$E$59:$E$63,1)</f>
        <v>3183.9769597987251</v>
      </c>
      <c r="Q58" s="88">
        <f t="shared" ref="Q58:Y58" si="26">SUMIFS(Q$59:Q$63,$E$59:$E$63,1)</f>
        <v>11484.469028272046</v>
      </c>
      <c r="R58" s="88">
        <f t="shared" si="26"/>
        <v>55957.985828805562</v>
      </c>
      <c r="S58" s="88">
        <f t="shared" si="26"/>
        <v>179059.60380716363</v>
      </c>
      <c r="T58" s="88">
        <f t="shared" si="26"/>
        <v>390621.12419726769</v>
      </c>
      <c r="U58" s="88">
        <f t="shared" si="26"/>
        <v>493911.04034087184</v>
      </c>
      <c r="V58" s="88">
        <f t="shared" si="26"/>
        <v>640399.71797511959</v>
      </c>
      <c r="W58" s="88">
        <f t="shared" si="26"/>
        <v>85353.666115929722</v>
      </c>
      <c r="X58" s="88">
        <f t="shared" si="26"/>
        <v>0</v>
      </c>
      <c r="Y58" s="88">
        <f t="shared" si="26"/>
        <v>0</v>
      </c>
      <c r="Z58" s="65"/>
      <c r="AA58" s="65"/>
    </row>
    <row r="59" spans="1:27" x14ac:dyDescent="0.25">
      <c r="A59" s="3"/>
      <c r="B59" s="3"/>
      <c r="C59" s="3"/>
      <c r="D59" s="3"/>
      <c r="E59" s="55">
        <v>1</v>
      </c>
      <c r="F59" s="86" t="str">
        <f>KPI!$F$187</f>
        <v>Объем возвратов кредитных средств</v>
      </c>
      <c r="G59" s="3"/>
      <c r="H59" s="3"/>
      <c r="I59" s="3"/>
      <c r="J59" s="87" t="str">
        <f>IF($F59="","",INDEX(KPI!$I$11:$I$275,SUMIFS(KPI!$E$11:$E$275,KPI!$F$11:$F$275,$F59)))</f>
        <v>тыс.руб.</v>
      </c>
      <c r="K59" s="3"/>
      <c r="L59" s="3"/>
      <c r="M59" s="89">
        <f t="shared" si="25"/>
        <v>1752554.6215076002</v>
      </c>
      <c r="N59" s="3"/>
      <c r="O59" s="3"/>
      <c r="P59" s="89">
        <f>SUMIFS(monthly!$191:$191,monthly!$9:$9,"&gt;="&amp;P$8,monthly!$9:$9,"&lt;="&amp;P$9)</f>
        <v>2433.0253615533666</v>
      </c>
      <c r="Q59" s="89">
        <f>SUMIFS(monthly!$191:$191,monthly!$9:$9,"&gt;="&amp;Q$8,monthly!$9:$9,"&lt;="&amp;Q$9)</f>
        <v>4775.3664541203316</v>
      </c>
      <c r="R59" s="89">
        <f>SUMIFS(monthly!$191:$191,monthly!$9:$9,"&gt;="&amp;R$8,monthly!$9:$9,"&lt;="&amp;R$9)</f>
        <v>42055.815783160113</v>
      </c>
      <c r="S59" s="89">
        <f>SUMIFS(monthly!$191:$191,monthly!$9:$9,"&gt;="&amp;S$8,monthly!$9:$9,"&lt;="&amp;S$9)</f>
        <v>155280.91895905131</v>
      </c>
      <c r="T59" s="89">
        <f>SUMIFS(monthly!$191:$191,monthly!$9:$9,"&gt;="&amp;T$8,monthly!$9:$9,"&lt;="&amp;T$9)</f>
        <v>365370.82131656515</v>
      </c>
      <c r="U59" s="89">
        <f>SUMIFS(monthly!$191:$191,monthly!$9:$9,"&gt;="&amp;U$8,monthly!$9:$9,"&lt;="&amp;U$9)</f>
        <v>475487.43642480823</v>
      </c>
      <c r="V59" s="89">
        <f>SUMIFS(monthly!$191:$191,monthly!$9:$9,"&gt;="&amp;V$8,monthly!$9:$9,"&lt;="&amp;V$9)</f>
        <v>623196.81152054202</v>
      </c>
      <c r="W59" s="89">
        <f>SUMIFS(monthly!$191:$191,monthly!$9:$9,"&gt;="&amp;W$8,monthly!$9:$9,"&lt;="&amp;W$9)</f>
        <v>83954.425687799725</v>
      </c>
      <c r="X59" s="89">
        <f>SUMIFS(monthly!$191:$191,monthly!$9:$9,"&gt;="&amp;X$8,monthly!$9:$9,"&lt;="&amp;X$9)</f>
        <v>0</v>
      </c>
      <c r="Y59" s="89">
        <f>SUMIFS(monthly!$191:$191,monthly!$9:$9,"&gt;="&amp;Y$8,monthly!$9:$9,"&lt;="&amp;Y$9)</f>
        <v>0</v>
      </c>
      <c r="Z59" s="3"/>
      <c r="AA59" s="3"/>
    </row>
    <row r="60" spans="1:27" s="93" customFormat="1" ht="6.6" x14ac:dyDescent="0.15">
      <c r="A60" s="90"/>
      <c r="B60" s="90"/>
      <c r="C60" s="90"/>
      <c r="D60" s="90"/>
      <c r="E60" s="91"/>
      <c r="F60" s="90"/>
      <c r="G60" s="90"/>
      <c r="H60" s="90"/>
      <c r="I60" s="90"/>
      <c r="J60" s="90"/>
      <c r="K60" s="90"/>
      <c r="L60" s="90"/>
      <c r="M60" s="92"/>
      <c r="N60" s="90"/>
      <c r="O60" s="90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0"/>
      <c r="AA60" s="90"/>
    </row>
    <row r="61" spans="1:27" x14ac:dyDescent="0.25">
      <c r="A61" s="3"/>
      <c r="B61" s="3"/>
      <c r="C61" s="3"/>
      <c r="D61" s="3"/>
      <c r="E61" s="55">
        <v>1</v>
      </c>
      <c r="F61" s="64" t="str">
        <f>KPI!$F$191</f>
        <v>Оплата процентов по овердрафту</v>
      </c>
      <c r="G61" s="3"/>
      <c r="H61" s="3"/>
      <c r="I61" s="3"/>
      <c r="J61" s="3" t="str">
        <f>IF($F61="","",INDEX(KPI!$I$11:$I$275,SUMIFS(KPI!$E$11:$E$275,KPI!$F$11:$F$275,$F61)))</f>
        <v>тыс.руб.</v>
      </c>
      <c r="K61" s="3"/>
      <c r="L61" s="3"/>
      <c r="M61" s="33">
        <f t="shared" ref="M61" si="27">SUM(O61:Z61)</f>
        <v>107416.9627456286</v>
      </c>
      <c r="N61" s="3"/>
      <c r="O61" s="3"/>
      <c r="P61" s="33">
        <f>SUMIFS(monthly!$199:$199,monthly!$9:$9,"&gt;="&amp;P$8,monthly!$9:$9,"&lt;="&amp;P$9)</f>
        <v>750.95159824535858</v>
      </c>
      <c r="Q61" s="33">
        <f>SUMIFS(monthly!$199:$199,monthly!$9:$9,"&gt;="&amp;Q$8,monthly!$9:$9,"&lt;="&amp;Q$9)</f>
        <v>6709.1025741517142</v>
      </c>
      <c r="R61" s="33">
        <f>SUMIFS(monthly!$199:$199,monthly!$9:$9,"&gt;="&amp;R$8,monthly!$9:$9,"&lt;="&amp;R$9)</f>
        <v>13902.170045645447</v>
      </c>
      <c r="S61" s="33">
        <f>SUMIFS(monthly!$199:$199,monthly!$9:$9,"&gt;="&amp;S$8,monthly!$9:$9,"&lt;="&amp;S$9)</f>
        <v>23778.684848112312</v>
      </c>
      <c r="T61" s="33">
        <f>SUMIFS(monthly!$199:$199,monthly!$9:$9,"&gt;="&amp;T$8,monthly!$9:$9,"&lt;="&amp;T$9)</f>
        <v>25250.302880702533</v>
      </c>
      <c r="U61" s="33">
        <f>SUMIFS(monthly!$199:$199,monthly!$9:$9,"&gt;="&amp;U$8,monthly!$9:$9,"&lt;="&amp;U$9)</f>
        <v>18423.603916063628</v>
      </c>
      <c r="V61" s="33">
        <f>SUMIFS(monthly!$199:$199,monthly!$9:$9,"&gt;="&amp;V$8,monthly!$9:$9,"&lt;="&amp;V$9)</f>
        <v>17202.906454577605</v>
      </c>
      <c r="W61" s="33">
        <f>SUMIFS(monthly!$199:$199,monthly!$9:$9,"&gt;="&amp;W$8,monthly!$9:$9,"&lt;="&amp;W$9)</f>
        <v>1399.2404281299969</v>
      </c>
      <c r="X61" s="33">
        <f>SUMIFS(monthly!$199:$199,monthly!$9:$9,"&gt;="&amp;X$8,monthly!$9:$9,"&lt;="&amp;X$9)</f>
        <v>0</v>
      </c>
      <c r="Y61" s="33">
        <f>SUMIFS(monthly!$199:$199,monthly!$9:$9,"&gt;="&amp;Y$8,monthly!$9:$9,"&lt;="&amp;Y$9)</f>
        <v>0</v>
      </c>
      <c r="Z61" s="3"/>
      <c r="AA61" s="3"/>
    </row>
    <row r="62" spans="1:27" s="93" customFormat="1" ht="6.6" x14ac:dyDescent="0.15">
      <c r="A62" s="90"/>
      <c r="B62" s="90"/>
      <c r="C62" s="90"/>
      <c r="D62" s="90"/>
      <c r="E62" s="91"/>
      <c r="F62" s="98"/>
      <c r="G62" s="90"/>
      <c r="H62" s="90"/>
      <c r="I62" s="90"/>
      <c r="J62" s="90"/>
      <c r="K62" s="90"/>
      <c r="L62" s="90"/>
      <c r="M62" s="92"/>
      <c r="N62" s="90"/>
      <c r="O62" s="90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0"/>
      <c r="AA62" s="90"/>
    </row>
    <row r="63" spans="1:27" s="101" customFormat="1" ht="6.6" x14ac:dyDescent="0.15">
      <c r="A63" s="99"/>
      <c r="B63" s="99"/>
      <c r="C63" s="99"/>
      <c r="D63" s="99"/>
      <c r="E63" s="91"/>
      <c r="F63" s="109"/>
      <c r="G63" s="109"/>
      <c r="H63" s="109"/>
      <c r="I63" s="109"/>
      <c r="J63" s="109"/>
      <c r="K63" s="109"/>
      <c r="L63" s="109"/>
      <c r="M63" s="110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99"/>
      <c r="AA63" s="99"/>
    </row>
    <row r="64" spans="1:27" s="66" customFormat="1" ht="14.4" thickBot="1" x14ac:dyDescent="0.35">
      <c r="A64" s="111"/>
      <c r="B64" s="111"/>
      <c r="C64" s="111"/>
      <c r="D64" s="111"/>
      <c r="E64" s="112"/>
      <c r="F64" s="113" t="str">
        <f>KPI!$F$203</f>
        <v>Финансовый поток по инвестиционной деятельности</v>
      </c>
      <c r="G64" s="111"/>
      <c r="H64" s="111"/>
      <c r="I64" s="111"/>
      <c r="J64" s="113" t="str">
        <f>IF($F64="","",INDEX(KPI!$I$11:$I$275,SUMIFS(KPI!$E$11:$E$275,KPI!$F$11:$F$275,$F64)))</f>
        <v>тыс.руб.</v>
      </c>
      <c r="K64" s="111"/>
      <c r="L64" s="111"/>
      <c r="M64" s="114">
        <f>SUM(O64:Z64)</f>
        <v>0</v>
      </c>
      <c r="N64" s="111"/>
      <c r="O64" s="111"/>
      <c r="P64" s="114">
        <f>P66-P69</f>
        <v>0</v>
      </c>
      <c r="Q64" s="114">
        <f t="shared" ref="Q64:Y64" si="28">Q66-Q69</f>
        <v>0</v>
      </c>
      <c r="R64" s="114">
        <f t="shared" si="28"/>
        <v>0</v>
      </c>
      <c r="S64" s="114">
        <f t="shared" si="28"/>
        <v>0</v>
      </c>
      <c r="T64" s="114">
        <f t="shared" si="28"/>
        <v>0</v>
      </c>
      <c r="U64" s="114">
        <f t="shared" si="28"/>
        <v>0</v>
      </c>
      <c r="V64" s="114">
        <f t="shared" si="28"/>
        <v>0</v>
      </c>
      <c r="W64" s="114">
        <f t="shared" si="28"/>
        <v>0</v>
      </c>
      <c r="X64" s="114">
        <f t="shared" si="28"/>
        <v>0</v>
      </c>
      <c r="Y64" s="114">
        <f t="shared" si="28"/>
        <v>0</v>
      </c>
      <c r="Z64" s="111"/>
      <c r="AA64" s="111"/>
    </row>
    <row r="65" spans="1:27" s="93" customFormat="1" ht="7.2" thickTop="1" x14ac:dyDescent="0.15">
      <c r="A65" s="115"/>
      <c r="B65" s="115"/>
      <c r="C65" s="115"/>
      <c r="D65" s="115"/>
      <c r="E65" s="116"/>
      <c r="F65" s="117"/>
      <c r="G65" s="115"/>
      <c r="H65" s="115"/>
      <c r="I65" s="115"/>
      <c r="J65" s="117"/>
      <c r="K65" s="115"/>
      <c r="L65" s="115"/>
      <c r="M65" s="118"/>
      <c r="N65" s="115"/>
      <c r="O65" s="115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5"/>
      <c r="AA65" s="115"/>
    </row>
    <row r="66" spans="1:27" s="66" customFormat="1" ht="13.8" x14ac:dyDescent="0.3">
      <c r="A66" s="111"/>
      <c r="B66" s="111"/>
      <c r="C66" s="111"/>
      <c r="D66" s="111"/>
      <c r="E66" s="112"/>
      <c r="F66" s="119" t="str">
        <f>KPI!$F$204</f>
        <v>Поступления ДС по инвестиционной деятельности</v>
      </c>
      <c r="G66" s="111"/>
      <c r="H66" s="111"/>
      <c r="I66" s="111"/>
      <c r="J66" s="119" t="str">
        <f>IF($F66="","",INDEX(KPI!$I$11:$I$275,SUMIFS(KPI!$E$11:$E$275,KPI!$F$11:$F$275,$F66)))</f>
        <v>тыс.руб.</v>
      </c>
      <c r="K66" s="111"/>
      <c r="L66" s="111"/>
      <c r="M66" s="120">
        <f t="shared" ref="M66:M67" si="29">SUM(O66:Z66)</f>
        <v>208696.64053424762</v>
      </c>
      <c r="N66" s="111"/>
      <c r="O66" s="111"/>
      <c r="P66" s="120">
        <f>SUMIFS(P$67:P$68,$E$67:$E$68,1)</f>
        <v>70000</v>
      </c>
      <c r="Q66" s="120">
        <f t="shared" ref="Q66:Y66" si="30">SUMIFS(Q$67:Q$68,$E$67:$E$68,1)</f>
        <v>0</v>
      </c>
      <c r="R66" s="120">
        <f t="shared" si="30"/>
        <v>0</v>
      </c>
      <c r="S66" s="120">
        <f t="shared" si="30"/>
        <v>0</v>
      </c>
      <c r="T66" s="120">
        <f t="shared" si="30"/>
        <v>63628.733420000019</v>
      </c>
      <c r="U66" s="120">
        <f t="shared" si="30"/>
        <v>0</v>
      </c>
      <c r="V66" s="120">
        <f t="shared" si="30"/>
        <v>0</v>
      </c>
      <c r="W66" s="120">
        <f t="shared" si="30"/>
        <v>75067.907114247631</v>
      </c>
      <c r="X66" s="120">
        <f t="shared" si="30"/>
        <v>0</v>
      </c>
      <c r="Y66" s="120">
        <f t="shared" si="30"/>
        <v>0</v>
      </c>
      <c r="Z66" s="111"/>
      <c r="AA66" s="111"/>
    </row>
    <row r="67" spans="1:27" x14ac:dyDescent="0.25">
      <c r="A67" s="121"/>
      <c r="B67" s="121"/>
      <c r="C67" s="121"/>
      <c r="D67" s="121"/>
      <c r="E67" s="122">
        <v>1</v>
      </c>
      <c r="F67" s="123" t="str">
        <f>KPI!$F$146</f>
        <v>Инвестиционные вложения</v>
      </c>
      <c r="G67" s="121"/>
      <c r="H67" s="121"/>
      <c r="I67" s="121"/>
      <c r="J67" s="124" t="str">
        <f>IF($F67="","",INDEX(KPI!$I$11:$I$275,SUMIFS(KPI!$E$11:$E$275,KPI!$F$11:$F$275,$F67)))</f>
        <v>тыс.руб.</v>
      </c>
      <c r="K67" s="121"/>
      <c r="L67" s="121"/>
      <c r="M67" s="125">
        <f t="shared" si="29"/>
        <v>208696.64053424762</v>
      </c>
      <c r="N67" s="121"/>
      <c r="O67" s="121"/>
      <c r="P67" s="125">
        <f>SUMIFS(monthly!$137:$137,monthly!$9:$9,"&gt;="&amp;P$8,monthly!$9:$9,"&lt;="&amp;P$9)</f>
        <v>70000</v>
      </c>
      <c r="Q67" s="125">
        <f>SUMIFS(monthly!$137:$137,monthly!$9:$9,"&gt;="&amp;Q$8,monthly!$9:$9,"&lt;="&amp;Q$9)</f>
        <v>0</v>
      </c>
      <c r="R67" s="125">
        <f>SUMIFS(monthly!$137:$137,monthly!$9:$9,"&gt;="&amp;R$8,monthly!$9:$9,"&lt;="&amp;R$9)</f>
        <v>0</v>
      </c>
      <c r="S67" s="125">
        <f>SUMIFS(monthly!$137:$137,monthly!$9:$9,"&gt;="&amp;S$8,monthly!$9:$9,"&lt;="&amp;S$9)</f>
        <v>0</v>
      </c>
      <c r="T67" s="125">
        <f>SUMIFS(monthly!$137:$137,monthly!$9:$9,"&gt;="&amp;T$8,monthly!$9:$9,"&lt;="&amp;T$9)</f>
        <v>63628.733420000019</v>
      </c>
      <c r="U67" s="125">
        <f>SUMIFS(monthly!$137:$137,monthly!$9:$9,"&gt;="&amp;U$8,monthly!$9:$9,"&lt;="&amp;U$9)</f>
        <v>0</v>
      </c>
      <c r="V67" s="125">
        <f>SUMIFS(monthly!$137:$137,monthly!$9:$9,"&gt;="&amp;V$8,monthly!$9:$9,"&lt;="&amp;V$9)</f>
        <v>0</v>
      </c>
      <c r="W67" s="125">
        <f>SUMIFS(monthly!$137:$137,monthly!$9:$9,"&gt;="&amp;W$8,monthly!$9:$9,"&lt;="&amp;W$9)</f>
        <v>75067.907114247631</v>
      </c>
      <c r="X67" s="125">
        <f>SUMIFS(monthly!$137:$137,monthly!$9:$9,"&gt;="&amp;X$8,monthly!$9:$9,"&lt;="&amp;X$9)</f>
        <v>0</v>
      </c>
      <c r="Y67" s="125">
        <f>SUMIFS(monthly!$137:$137,monthly!$9:$9,"&gt;="&amp;Y$8,monthly!$9:$9,"&lt;="&amp;Y$9)</f>
        <v>0</v>
      </c>
      <c r="Z67" s="121"/>
      <c r="AA67" s="121"/>
    </row>
    <row r="68" spans="1:27" s="101" customFormat="1" ht="6.6" x14ac:dyDescent="0.15">
      <c r="A68" s="126"/>
      <c r="B68" s="126"/>
      <c r="C68" s="126"/>
      <c r="D68" s="126"/>
      <c r="E68" s="116"/>
      <c r="F68" s="126"/>
      <c r="G68" s="126"/>
      <c r="H68" s="126"/>
      <c r="I68" s="126"/>
      <c r="J68" s="126"/>
      <c r="K68" s="126"/>
      <c r="L68" s="126"/>
      <c r="M68" s="127"/>
      <c r="N68" s="126"/>
      <c r="O68" s="126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6"/>
      <c r="AA68" s="126"/>
    </row>
    <row r="69" spans="1:27" s="66" customFormat="1" ht="13.8" x14ac:dyDescent="0.3">
      <c r="A69" s="111"/>
      <c r="B69" s="111"/>
      <c r="C69" s="111"/>
      <c r="D69" s="111"/>
      <c r="E69" s="112"/>
      <c r="F69" s="119" t="str">
        <f>KPI!$F$205</f>
        <v>Отток ДС по инвестиционной деятельности</v>
      </c>
      <c r="G69" s="111"/>
      <c r="H69" s="111"/>
      <c r="I69" s="111"/>
      <c r="J69" s="119" t="str">
        <f>IF($F69="","",INDEX(KPI!$I$11:$I$275,SUMIFS(KPI!$E$11:$E$275,KPI!$F$11:$F$275,$F69)))</f>
        <v>тыс.руб.</v>
      </c>
      <c r="K69" s="111"/>
      <c r="L69" s="111"/>
      <c r="M69" s="120">
        <f t="shared" ref="M69:M70" si="31">SUM(O69:Z69)</f>
        <v>208696.64053424762</v>
      </c>
      <c r="N69" s="111"/>
      <c r="O69" s="111"/>
      <c r="P69" s="120">
        <f>SUMIFS(P$70:P$72,$E$70:$E$72,1)</f>
        <v>70000</v>
      </c>
      <c r="Q69" s="120">
        <f t="shared" ref="Q69:Y69" si="32">SUMIFS(Q$70:Q$72,$E$70:$E$72,1)</f>
        <v>0</v>
      </c>
      <c r="R69" s="120">
        <f t="shared" si="32"/>
        <v>0</v>
      </c>
      <c r="S69" s="120">
        <f t="shared" si="32"/>
        <v>0</v>
      </c>
      <c r="T69" s="120">
        <f t="shared" si="32"/>
        <v>63628.733420000019</v>
      </c>
      <c r="U69" s="120">
        <f t="shared" si="32"/>
        <v>0</v>
      </c>
      <c r="V69" s="120">
        <f t="shared" si="32"/>
        <v>0</v>
      </c>
      <c r="W69" s="120">
        <f t="shared" si="32"/>
        <v>75067.907114247631</v>
      </c>
      <c r="X69" s="120">
        <f t="shared" si="32"/>
        <v>0</v>
      </c>
      <c r="Y69" s="120">
        <f t="shared" si="32"/>
        <v>0</v>
      </c>
      <c r="Z69" s="111"/>
      <c r="AA69" s="111"/>
    </row>
    <row r="70" spans="1:27" x14ac:dyDescent="0.25">
      <c r="A70" s="121"/>
      <c r="B70" s="121"/>
      <c r="C70" s="121"/>
      <c r="D70" s="121"/>
      <c r="E70" s="122">
        <v>1</v>
      </c>
      <c r="F70" s="123" t="str">
        <f>KPI!$F$145</f>
        <v>Оплата подрядчикам по кап. затратам</v>
      </c>
      <c r="G70" s="121"/>
      <c r="H70" s="121"/>
      <c r="I70" s="121"/>
      <c r="J70" s="124" t="str">
        <f>IF($F70="","",INDEX(KPI!$I$11:$I$275,SUMIFS(KPI!$E$11:$E$275,KPI!$F$11:$F$275,$F70)))</f>
        <v>тыс.руб.</v>
      </c>
      <c r="K70" s="121"/>
      <c r="L70" s="121"/>
      <c r="M70" s="125">
        <f t="shared" si="31"/>
        <v>208696.64053424762</v>
      </c>
      <c r="N70" s="121"/>
      <c r="O70" s="121"/>
      <c r="P70" s="125">
        <f>SUMIFS(monthly!$135:$135,monthly!$9:$9,"&gt;="&amp;P$8,monthly!$9:$9,"&lt;="&amp;P$9)</f>
        <v>70000</v>
      </c>
      <c r="Q70" s="125">
        <f>SUMIFS(monthly!$135:$135,monthly!$9:$9,"&gt;="&amp;Q$8,monthly!$9:$9,"&lt;="&amp;Q$9)</f>
        <v>0</v>
      </c>
      <c r="R70" s="125">
        <f>SUMIFS(monthly!$135:$135,monthly!$9:$9,"&gt;="&amp;R$8,monthly!$9:$9,"&lt;="&amp;R$9)</f>
        <v>0</v>
      </c>
      <c r="S70" s="125">
        <f>SUMIFS(monthly!$135:$135,monthly!$9:$9,"&gt;="&amp;S$8,monthly!$9:$9,"&lt;="&amp;S$9)</f>
        <v>0</v>
      </c>
      <c r="T70" s="125">
        <f>SUMIFS(monthly!$135:$135,monthly!$9:$9,"&gt;="&amp;T$8,monthly!$9:$9,"&lt;="&amp;T$9)</f>
        <v>63628.733420000019</v>
      </c>
      <c r="U70" s="125">
        <f>SUMIFS(monthly!$135:$135,monthly!$9:$9,"&gt;="&amp;U$8,monthly!$9:$9,"&lt;="&amp;U$9)</f>
        <v>0</v>
      </c>
      <c r="V70" s="125">
        <f>SUMIFS(monthly!$135:$135,monthly!$9:$9,"&gt;="&amp;V$8,monthly!$9:$9,"&lt;="&amp;V$9)</f>
        <v>0</v>
      </c>
      <c r="W70" s="125">
        <f>SUMIFS(monthly!$135:$135,monthly!$9:$9,"&gt;="&amp;W$8,monthly!$9:$9,"&lt;="&amp;W$9)</f>
        <v>75067.907114247631</v>
      </c>
      <c r="X70" s="125">
        <f>SUMIFS(monthly!$135:$135,monthly!$9:$9,"&gt;="&amp;X$8,monthly!$9:$9,"&lt;="&amp;X$9)</f>
        <v>0</v>
      </c>
      <c r="Y70" s="125">
        <f>SUMIFS(monthly!$135:$135,monthly!$9:$9,"&gt;="&amp;Y$8,monthly!$9:$9,"&lt;="&amp;Y$9)</f>
        <v>0</v>
      </c>
      <c r="Z70" s="121"/>
      <c r="AA70" s="121"/>
    </row>
    <row r="71" spans="1:27" s="93" customFormat="1" ht="6.6" x14ac:dyDescent="0.15">
      <c r="A71" s="115"/>
      <c r="B71" s="115"/>
      <c r="C71" s="115"/>
      <c r="D71" s="115"/>
      <c r="E71" s="116"/>
      <c r="F71" s="115"/>
      <c r="G71" s="115"/>
      <c r="H71" s="115"/>
      <c r="I71" s="115"/>
      <c r="J71" s="115"/>
      <c r="K71" s="115"/>
      <c r="L71" s="115"/>
      <c r="M71" s="128"/>
      <c r="N71" s="115"/>
      <c r="O71" s="115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15"/>
      <c r="AA71" s="115"/>
    </row>
    <row r="72" spans="1:27" s="101" customFormat="1" ht="6.6" x14ac:dyDescent="0.15">
      <c r="A72" s="126"/>
      <c r="B72" s="126"/>
      <c r="C72" s="126"/>
      <c r="D72" s="126"/>
      <c r="E72" s="116"/>
      <c r="F72" s="132"/>
      <c r="G72" s="132"/>
      <c r="H72" s="132"/>
      <c r="I72" s="132"/>
      <c r="J72" s="132"/>
      <c r="K72" s="132"/>
      <c r="L72" s="132"/>
      <c r="M72" s="133"/>
      <c r="N72" s="132"/>
      <c r="O72" s="132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26"/>
      <c r="AA72" s="126"/>
    </row>
    <row r="73" spans="1:27" s="93" customFormat="1" ht="6.6" x14ac:dyDescent="0.15">
      <c r="A73" s="90"/>
      <c r="B73" s="90"/>
      <c r="C73" s="90"/>
      <c r="D73" s="90"/>
      <c r="E73" s="91"/>
      <c r="F73" s="107"/>
      <c r="G73" s="107"/>
      <c r="H73" s="107"/>
      <c r="I73" s="107"/>
      <c r="J73" s="107"/>
      <c r="K73" s="107"/>
      <c r="L73" s="107"/>
      <c r="M73" s="108"/>
      <c r="N73" s="107"/>
      <c r="O73" s="107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90"/>
      <c r="AA73" s="90"/>
    </row>
    <row r="74" spans="1:27" x14ac:dyDescent="0.25">
      <c r="A74" s="3"/>
      <c r="B74" s="3"/>
      <c r="C74" s="3"/>
      <c r="D74" s="3"/>
      <c r="E74" s="55"/>
      <c r="F74" s="3"/>
      <c r="G74" s="3"/>
      <c r="H74" s="3"/>
      <c r="I74" s="3"/>
      <c r="J74" s="3"/>
      <c r="K74" s="3"/>
      <c r="L74" s="3"/>
      <c r="M74" s="33"/>
      <c r="N74" s="3"/>
      <c r="O74" s="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"/>
      <c r="AA74" s="3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3"/>
      <c r="L75" s="3"/>
      <c r="M75" s="33"/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3"/>
      <c r="L76" s="3"/>
      <c r="M76" s="33"/>
      <c r="N76" s="3"/>
      <c r="O76" s="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3"/>
      <c r="L77" s="3"/>
      <c r="M77" s="33"/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3"/>
      <c r="L78" s="3"/>
      <c r="M78" s="33"/>
      <c r="N78" s="3"/>
      <c r="O78" s="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3"/>
      <c r="L79" s="3"/>
      <c r="M79" s="33"/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3"/>
      <c r="L80" s="3"/>
      <c r="M80" s="33"/>
      <c r="N80" s="3"/>
      <c r="O80" s="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</sheetData>
  <conditionalFormatting sqref="P8:Y9">
    <cfRule type="containsBlanks" dxfId="396" priority="6">
      <formula>LEN(TRIM(P8))=0</formula>
    </cfRule>
  </conditionalFormatting>
  <conditionalFormatting sqref="M23 P23:Y23">
    <cfRule type="cellIs" dxfId="395" priority="2" operator="greaterThanOrEqual">
      <formula>0</formula>
    </cfRule>
    <cfRule type="cellIs" dxfId="394" priority="3" operator="lessThan">
      <formula>0</formula>
    </cfRule>
  </conditionalFormatting>
  <conditionalFormatting sqref="M21 P21:Y21">
    <cfRule type="cellIs" dxfId="393" priority="1" operator="lessThan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3"/>
  <sheetViews>
    <sheetView showGridLines="0" workbookViewId="0">
      <pane xSplit="14" ySplit="12" topLeftCell="O13" activePane="bottomRight" state="frozen"/>
      <selection pane="topRight" activeCell="P1" sqref="P1"/>
      <selection pane="bottomLeft" activeCell="A13" sqref="A13"/>
      <selection pane="bottomRight" activeCell="A6" sqref="A6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50.109375" style="2" bestFit="1" customWidth="1"/>
    <col min="7" max="9" width="1.6640625" style="2" customWidth="1"/>
    <col min="10" max="10" width="8.6640625" style="2" bestFit="1" customWidth="1"/>
    <col min="11" max="14" width="0.88671875" style="2" customWidth="1"/>
    <col min="15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оглавление!$F$49</f>
        <v>БАЛАНС ИНВЕСТПРОЕКТА</v>
      </c>
      <c r="E7" s="55"/>
      <c r="F7" s="3"/>
      <c r="G7" s="3"/>
      <c r="H7" s="3"/>
      <c r="I7" s="3"/>
      <c r="J7" s="3"/>
      <c r="K7" s="3"/>
      <c r="L7" s="3"/>
      <c r="M7" s="3"/>
      <c r="N7" s="3"/>
      <c r="O7" s="3"/>
      <c r="P7" s="25" t="str">
        <f>IF(условия!T7="","",условия!T7)</f>
        <v>2021г.</v>
      </c>
      <c r="Q7" s="25" t="str">
        <f>IF(условия!U7="","",условия!U7)</f>
        <v>2022г.</v>
      </c>
      <c r="R7" s="25" t="str">
        <f>IF(условия!V7="","",условия!V7)</f>
        <v>2023г.</v>
      </c>
      <c r="S7" s="25" t="str">
        <f>IF(условия!W7="","",условия!W7)</f>
        <v>2024г.</v>
      </c>
      <c r="T7" s="25" t="str">
        <f>IF(условия!X7="","",условия!X7)</f>
        <v>2025г.</v>
      </c>
      <c r="U7" s="25" t="str">
        <f>IF(условия!Y7="","",условия!Y7)</f>
        <v>2026г.</v>
      </c>
      <c r="V7" s="25" t="str">
        <f>IF(условия!Z7="","",условия!Z7)</f>
        <v>2027г.</v>
      </c>
      <c r="W7" s="25" t="str">
        <f>IF(условия!AA7="","",условия!AA7)</f>
        <v>2028г.</v>
      </c>
      <c r="X7" s="25" t="str">
        <f>IF(условия!AB7="","",условия!AB7)</f>
        <v>2029г.</v>
      </c>
      <c r="Y7" s="25" t="str">
        <f>IF(условия!AC7="","",условия!AC7)</f>
        <v>2030г.</v>
      </c>
      <c r="Z7" s="3"/>
      <c r="AA7" s="3"/>
    </row>
    <row r="8" spans="1:27" x14ac:dyDescent="0.25">
      <c r="A8" s="3"/>
      <c r="B8" s="3"/>
      <c r="C8" s="171">
        <f>SUM(P11:Y11)</f>
        <v>4.6566128730773926E-10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"/>
      <c r="N8" s="3"/>
      <c r="O8" s="3"/>
      <c r="P8" s="24">
        <f>IF(условия!T8="","",условия!T8)</f>
        <v>44197</v>
      </c>
      <c r="Q8" s="24">
        <f>IF(условия!U8="","",условия!U8)</f>
        <v>44562</v>
      </c>
      <c r="R8" s="24">
        <f>IF(условия!V8="","",условия!V8)</f>
        <v>44927</v>
      </c>
      <c r="S8" s="24">
        <f>IF(условия!W8="","",условия!W8)</f>
        <v>45292</v>
      </c>
      <c r="T8" s="24">
        <f>IF(условия!X8="","",условия!X8)</f>
        <v>45658</v>
      </c>
      <c r="U8" s="24">
        <f>IF(условия!Y8="","",условия!Y8)</f>
        <v>46023</v>
      </c>
      <c r="V8" s="24">
        <f>IF(условия!Z8="","",условия!Z8)</f>
        <v>46388</v>
      </c>
      <c r="W8" s="24">
        <f>IF(условия!AA8="","",условия!AA8)</f>
        <v>46753</v>
      </c>
      <c r="X8" s="24">
        <f>IF(условия!AB8="","",условия!AB8)</f>
        <v>47119</v>
      </c>
      <c r="Y8" s="24">
        <f>IF(условия!AC8="","",условия!AC8)</f>
        <v>47484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"/>
      <c r="N9" s="10"/>
      <c r="O9" s="3"/>
      <c r="P9" s="61">
        <f>IF(условия!T9="","",условия!T9)</f>
        <v>44561</v>
      </c>
      <c r="Q9" s="61">
        <f>IF(условия!U9="","",условия!U9)</f>
        <v>44926</v>
      </c>
      <c r="R9" s="61">
        <f>IF(условия!V9="","",условия!V9)</f>
        <v>45291</v>
      </c>
      <c r="S9" s="61">
        <f>IF(условия!W9="","",условия!W9)</f>
        <v>45657</v>
      </c>
      <c r="T9" s="61">
        <f>IF(условия!X9="","",условия!X9)</f>
        <v>46022</v>
      </c>
      <c r="U9" s="61">
        <f>IF(условия!Y9="","",условия!Y9)</f>
        <v>46387</v>
      </c>
      <c r="V9" s="61">
        <f>IF(условия!Z9="","",условия!Z9)</f>
        <v>46752</v>
      </c>
      <c r="W9" s="61">
        <f>IF(условия!AA9="","",условия!AA9)</f>
        <v>47118</v>
      </c>
      <c r="X9" s="61">
        <f>IF(условия!AB9="","",условия!AB9)</f>
        <v>47483</v>
      </c>
      <c r="Y9" s="61">
        <f>IF(условия!AC9="","",условия!AC9)</f>
        <v>47848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77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138" customFormat="1" x14ac:dyDescent="0.25">
      <c r="A11" s="134"/>
      <c r="B11" s="134"/>
      <c r="C11" s="134"/>
      <c r="D11" s="134"/>
      <c r="E11" s="134"/>
      <c r="F11" s="135" t="str">
        <f>KPI!$F$236</f>
        <v>БАЛАНС-контроль (активы - пассивы)</v>
      </c>
      <c r="G11" s="134"/>
      <c r="H11" s="134"/>
      <c r="I11" s="134"/>
      <c r="J11" s="136" t="str">
        <f>IF($F11="","",INDEX(KPI!$I$11:$I$275,SUMIFS(KPI!$E$11:$E$275,KPI!$F$11:$F$275,$F11)))</f>
        <v>тыс.руб.</v>
      </c>
      <c r="K11" s="134"/>
      <c r="L11" s="134"/>
      <c r="M11" s="134"/>
      <c r="N11" s="134"/>
      <c r="O11" s="134"/>
      <c r="P11" s="137">
        <f>P13-P37</f>
        <v>0</v>
      </c>
      <c r="Q11" s="137">
        <f>Q13-Q37</f>
        <v>0</v>
      </c>
      <c r="R11" s="137">
        <f t="shared" ref="R11:Y11" si="1">R13-R37</f>
        <v>0</v>
      </c>
      <c r="S11" s="137">
        <f t="shared" si="1"/>
        <v>0</v>
      </c>
      <c r="T11" s="137">
        <f t="shared" si="1"/>
        <v>0</v>
      </c>
      <c r="U11" s="137">
        <f t="shared" si="1"/>
        <v>0</v>
      </c>
      <c r="V11" s="137">
        <f t="shared" si="1"/>
        <v>4.6566128730773926E-10</v>
      </c>
      <c r="W11" s="137">
        <f t="shared" si="1"/>
        <v>0</v>
      </c>
      <c r="X11" s="137">
        <f t="shared" si="1"/>
        <v>0</v>
      </c>
      <c r="Y11" s="137">
        <f t="shared" si="1"/>
        <v>0</v>
      </c>
      <c r="Z11" s="134"/>
      <c r="AA11" s="134"/>
    </row>
    <row r="12" spans="1:27" s="93" customFormat="1" ht="6.6" x14ac:dyDescent="0.15">
      <c r="A12" s="90"/>
      <c r="B12" s="90"/>
      <c r="C12" s="90"/>
      <c r="D12" s="90"/>
      <c r="E12" s="91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0"/>
      <c r="AA12" s="90"/>
    </row>
    <row r="13" spans="1:27" s="11" customFormat="1" x14ac:dyDescent="0.25">
      <c r="A13" s="10"/>
      <c r="B13" s="10"/>
      <c r="C13" s="10"/>
      <c r="D13" s="10"/>
      <c r="E13" s="139"/>
      <c r="F13" s="150" t="str">
        <f>KPI!$F$211</f>
        <v>АКТИВЫ на конец периода</v>
      </c>
      <c r="G13" s="10"/>
      <c r="H13" s="10"/>
      <c r="I13" s="10"/>
      <c r="J13" s="152" t="str">
        <f>IF($F13="","",INDEX(KPI!$I$11:$I$275,SUMIFS(KPI!$E$11:$E$275,KPI!$F$11:$F$275,$F13)))</f>
        <v>тыс.руб.</v>
      </c>
      <c r="K13" s="10"/>
      <c r="L13" s="10"/>
      <c r="M13" s="10"/>
      <c r="N13" s="10"/>
      <c r="O13" s="10"/>
      <c r="P13" s="153">
        <f>P15+P24</f>
        <v>58867.225823687957</v>
      </c>
      <c r="Q13" s="153">
        <f t="shared" ref="Q13:Y13" si="2">Q15+Q24</f>
        <v>76696.008568702338</v>
      </c>
      <c r="R13" s="153">
        <f t="shared" si="2"/>
        <v>115696.4428590559</v>
      </c>
      <c r="S13" s="153">
        <f t="shared" si="2"/>
        <v>125315.11153125788</v>
      </c>
      <c r="T13" s="153">
        <f t="shared" si="2"/>
        <v>182994.13940543111</v>
      </c>
      <c r="U13" s="153">
        <f t="shared" si="2"/>
        <v>332082.974499812</v>
      </c>
      <c r="V13" s="153">
        <f t="shared" si="2"/>
        <v>257850.62182375946</v>
      </c>
      <c r="W13" s="153">
        <f t="shared" si="2"/>
        <v>515448.11738806427</v>
      </c>
      <c r="X13" s="153">
        <f t="shared" si="2"/>
        <v>884673.27133375779</v>
      </c>
      <c r="Y13" s="153">
        <f t="shared" si="2"/>
        <v>888282.83519624616</v>
      </c>
      <c r="Z13" s="10"/>
      <c r="AA13" s="10"/>
    </row>
    <row r="14" spans="1:27" s="93" customFormat="1" ht="6.6" x14ac:dyDescent="0.15">
      <c r="A14" s="90"/>
      <c r="B14" s="90"/>
      <c r="C14" s="90"/>
      <c r="D14" s="90"/>
      <c r="E14" s="91"/>
      <c r="F14" s="96"/>
      <c r="G14" s="90"/>
      <c r="H14" s="90"/>
      <c r="I14" s="90"/>
      <c r="J14" s="96"/>
      <c r="K14" s="90"/>
      <c r="L14" s="90"/>
      <c r="M14" s="90"/>
      <c r="N14" s="90"/>
      <c r="O14" s="90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0"/>
      <c r="AA14" s="90"/>
    </row>
    <row r="15" spans="1:27" s="77" customFormat="1" ht="15" thickBot="1" x14ac:dyDescent="0.35">
      <c r="A15" s="75"/>
      <c r="B15" s="75"/>
      <c r="C15" s="75"/>
      <c r="D15" s="75"/>
      <c r="E15" s="76"/>
      <c r="F15" s="78" t="str">
        <f>KPI!$F$212</f>
        <v>ВНЕОБОРОТНЫЕ АКТИВЫ</v>
      </c>
      <c r="G15" s="75"/>
      <c r="H15" s="75"/>
      <c r="I15" s="75"/>
      <c r="J15" s="78" t="str">
        <f>IF($F15="","",INDEX(KPI!$I$11:$I$275,SUMIFS(KPI!$E$11:$E$275,KPI!$F$11:$F$275,$F15)))</f>
        <v>тыс.руб.</v>
      </c>
      <c r="K15" s="75"/>
      <c r="L15" s="75"/>
      <c r="M15" s="75"/>
      <c r="N15" s="75"/>
      <c r="O15" s="75"/>
      <c r="P15" s="79">
        <f>SUM(P16:P23)</f>
        <v>53958.333333333336</v>
      </c>
      <c r="Q15" s="79">
        <f t="shared" ref="Q15:Y15" si="3">SUM(Q16:Q23)</f>
        <v>48125</v>
      </c>
      <c r="R15" s="79">
        <f t="shared" si="3"/>
        <v>42291.666666666672</v>
      </c>
      <c r="S15" s="79">
        <f t="shared" si="3"/>
        <v>36458.333333333343</v>
      </c>
      <c r="T15" s="79">
        <f t="shared" si="3"/>
        <v>81881.479699444491</v>
      </c>
      <c r="U15" s="79">
        <f t="shared" si="3"/>
        <v>70745.751914444452</v>
      </c>
      <c r="V15" s="79">
        <f t="shared" si="3"/>
        <v>59610.024129444435</v>
      </c>
      <c r="W15" s="79">
        <f t="shared" si="3"/>
        <v>109466.97087477063</v>
      </c>
      <c r="X15" s="79">
        <f t="shared" si="3"/>
        <v>92075.584163583306</v>
      </c>
      <c r="Y15" s="79">
        <f t="shared" si="3"/>
        <v>74684.197452396038</v>
      </c>
      <c r="Z15" s="75"/>
      <c r="AA15" s="75"/>
    </row>
    <row r="16" spans="1:27" s="93" customFormat="1" ht="7.2" thickTop="1" x14ac:dyDescent="0.15">
      <c r="A16" s="90"/>
      <c r="B16" s="90"/>
      <c r="C16" s="90"/>
      <c r="D16" s="90"/>
      <c r="E16" s="91"/>
      <c r="F16" s="94"/>
      <c r="G16" s="90"/>
      <c r="H16" s="90"/>
      <c r="I16" s="90"/>
      <c r="J16" s="94"/>
      <c r="K16" s="90"/>
      <c r="L16" s="90"/>
      <c r="M16" s="90"/>
      <c r="N16" s="90"/>
      <c r="O16" s="90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0"/>
      <c r="AA16" s="90"/>
    </row>
    <row r="17" spans="1:27" s="66" customFormat="1" ht="13.8" x14ac:dyDescent="0.3">
      <c r="A17" s="65"/>
      <c r="B17" s="65"/>
      <c r="C17" s="65"/>
      <c r="D17" s="65"/>
      <c r="E17" s="72"/>
      <c r="F17" s="85" t="str">
        <f>KPI!$F$138</f>
        <v>Незавершенные кап. вложения на конец периода</v>
      </c>
      <c r="G17" s="65"/>
      <c r="H17" s="65"/>
      <c r="I17" s="65"/>
      <c r="J17" s="85" t="str">
        <f>IF($F17="","",INDEX(KPI!$I$11:$I$275,SUMIFS(KPI!$E$11:$E$275,KPI!$F$11:$F$275,$F17)))</f>
        <v>тыс.руб.</v>
      </c>
      <c r="K17" s="65"/>
      <c r="L17" s="65"/>
      <c r="M17" s="65"/>
      <c r="N17" s="65"/>
      <c r="O17" s="65"/>
      <c r="P17" s="88">
        <f>SUMIFS(monthly!$125:$125,monthly!$9:$9,EOMONTH(P$9,-1)+1)/(1+условия!T$182)</f>
        <v>0</v>
      </c>
      <c r="Q17" s="88">
        <f>SUMIFS(monthly!$125:$125,monthly!$9:$9,EOMONTH(Q$9,-1)+1)/(1+условия!U$182)</f>
        <v>0</v>
      </c>
      <c r="R17" s="88">
        <f>SUMIFS(monthly!$125:$125,monthly!$9:$9,EOMONTH(R$9,-1)+1)/(1+условия!V$182)</f>
        <v>0</v>
      </c>
      <c r="S17" s="88">
        <f>SUMIFS(monthly!$125:$125,monthly!$9:$9,EOMONTH(S$9,-1)+1)/(1+условия!W$182)</f>
        <v>0</v>
      </c>
      <c r="T17" s="88">
        <f>SUMIFS(monthly!$125:$125,monthly!$9:$9,EOMONTH(T$9,-1)+1)/(1+условия!X$182)</f>
        <v>0</v>
      </c>
      <c r="U17" s="88">
        <f>SUMIFS(monthly!$125:$125,monthly!$9:$9,EOMONTH(U$9,-1)+1)/(1+условия!Y$182)</f>
        <v>0</v>
      </c>
      <c r="V17" s="88">
        <f>SUMIFS(monthly!$125:$125,monthly!$9:$9,EOMONTH(V$9,-1)+1)/(1+условия!Z$182)</f>
        <v>0</v>
      </c>
      <c r="W17" s="88">
        <f>SUMIFS(monthly!$125:$125,monthly!$9:$9,EOMONTH(W$9,-1)+1)/(1+условия!AA$182)</f>
        <v>0</v>
      </c>
      <c r="X17" s="88">
        <f>SUMIFS(monthly!$125:$125,monthly!$9:$9,EOMONTH(X$9,-1)+1)/(1+условия!AB$182)</f>
        <v>0</v>
      </c>
      <c r="Y17" s="88">
        <f>SUMIFS(monthly!$125:$125,monthly!$9:$9,EOMONTH(Y$9,-1)+1)/(1+условия!AC$182)</f>
        <v>0</v>
      </c>
      <c r="Z17" s="65"/>
      <c r="AA17" s="65"/>
    </row>
    <row r="18" spans="1:27" s="101" customFormat="1" ht="6.6" x14ac:dyDescent="0.15">
      <c r="A18" s="99"/>
      <c r="B18" s="99"/>
      <c r="C18" s="99"/>
      <c r="D18" s="99"/>
      <c r="E18" s="91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99"/>
      <c r="AA18" s="99"/>
    </row>
    <row r="19" spans="1:27" s="66" customFormat="1" ht="13.8" x14ac:dyDescent="0.3">
      <c r="A19" s="65"/>
      <c r="B19" s="65"/>
      <c r="C19" s="65"/>
      <c r="D19" s="65"/>
      <c r="E19" s="72"/>
      <c r="F19" s="85" t="str">
        <f>KPI!$F$139</f>
        <v>Основные средства на конец периода</v>
      </c>
      <c r="G19" s="65"/>
      <c r="H19" s="65"/>
      <c r="I19" s="65"/>
      <c r="J19" s="85" t="str">
        <f>IF($F19="","",INDEX(KPI!$I$11:$I$275,SUMIFS(KPI!$E$11:$E$275,KPI!$F$11:$F$275,$F19)))</f>
        <v>тыс.руб.</v>
      </c>
      <c r="K19" s="65"/>
      <c r="L19" s="65"/>
      <c r="M19" s="65"/>
      <c r="N19" s="65"/>
      <c r="O19" s="65"/>
      <c r="P19" s="88">
        <f>SUMIFS(monthly!$127:$127,monthly!$9:$9,EOMONTH(P$9,-1)+1)/(1+условия!T$182)</f>
        <v>58333.333333333336</v>
      </c>
      <c r="Q19" s="88">
        <f>SUMIFS(monthly!$127:$127,monthly!$9:$9,EOMONTH(Q$9,-1)+1)/(1+условия!U$182)</f>
        <v>58333.333333333336</v>
      </c>
      <c r="R19" s="88">
        <f>SUMIFS(monthly!$127:$127,monthly!$9:$9,EOMONTH(R$9,-1)+1)/(1+условия!V$182)</f>
        <v>58333.333333333336</v>
      </c>
      <c r="S19" s="88">
        <f>SUMIFS(monthly!$127:$127,monthly!$9:$9,EOMONTH(S$9,-1)+1)/(1+условия!W$182)</f>
        <v>58333.333333333336</v>
      </c>
      <c r="T19" s="88">
        <f>SUMIFS(monthly!$127:$127,monthly!$9:$9,EOMONTH(T$9,-1)+1)/(1+условия!X$182)</f>
        <v>111357.27785000001</v>
      </c>
      <c r="U19" s="88">
        <f>SUMIFS(monthly!$127:$127,monthly!$9:$9,EOMONTH(U$9,-1)+1)/(1+условия!Y$182)</f>
        <v>111357.27785000001</v>
      </c>
      <c r="V19" s="88">
        <f>SUMIFS(monthly!$127:$127,monthly!$9:$9,EOMONTH(V$9,-1)+1)/(1+условия!Z$182)</f>
        <v>111357.27785000001</v>
      </c>
      <c r="W19" s="88">
        <f>SUMIFS(monthly!$127:$127,monthly!$9:$9,EOMONTH(W$9,-1)+1)/(1+условия!AA$182)</f>
        <v>173913.86711187306</v>
      </c>
      <c r="X19" s="88">
        <f>SUMIFS(monthly!$127:$127,monthly!$9:$9,EOMONTH(X$9,-1)+1)/(1+условия!AB$182)</f>
        <v>173913.86711187306</v>
      </c>
      <c r="Y19" s="88">
        <f>SUMIFS(monthly!$127:$127,monthly!$9:$9,EOMONTH(Y$9,-1)+1)/(1+условия!AC$182)</f>
        <v>173913.86711187306</v>
      </c>
      <c r="Z19" s="65"/>
      <c r="AA19" s="65"/>
    </row>
    <row r="20" spans="1:27" s="93" customFormat="1" ht="6.6" x14ac:dyDescent="0.15">
      <c r="A20" s="90"/>
      <c r="B20" s="90"/>
      <c r="C20" s="90"/>
      <c r="D20" s="90"/>
      <c r="E20" s="9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0"/>
      <c r="AA20" s="90"/>
    </row>
    <row r="21" spans="1:27" s="66" customFormat="1" ht="13.8" x14ac:dyDescent="0.3">
      <c r="A21" s="65"/>
      <c r="B21" s="65"/>
      <c r="C21" s="65"/>
      <c r="D21" s="65"/>
      <c r="E21" s="72"/>
      <c r="F21" s="85" t="str">
        <f>KPI!$F$140</f>
        <v>Амортизация на конец периода</v>
      </c>
      <c r="G21" s="65"/>
      <c r="H21" s="65"/>
      <c r="I21" s="65"/>
      <c r="J21" s="85" t="str">
        <f>IF($F21="","",INDEX(KPI!$I$11:$I$275,SUMIFS(KPI!$E$11:$E$275,KPI!$F$11:$F$275,$F21)))</f>
        <v>тыс.руб.</v>
      </c>
      <c r="K21" s="65"/>
      <c r="L21" s="65"/>
      <c r="M21" s="65"/>
      <c r="N21" s="65"/>
      <c r="O21" s="65"/>
      <c r="P21" s="88">
        <f>-SUMIFS(monthly!$129:$129,monthly!$9:$9,EOMONTH(P$9,-1)+1)/(1+условия!T$182)</f>
        <v>-4375</v>
      </c>
      <c r="Q21" s="88">
        <f>-SUMIFS(monthly!$129:$129,monthly!$9:$9,EOMONTH(Q$9,-1)+1)/(1+условия!U$182)</f>
        <v>-10208.333333333336</v>
      </c>
      <c r="R21" s="88">
        <f>-SUMIFS(monthly!$129:$129,monthly!$9:$9,EOMONTH(R$9,-1)+1)/(1+условия!V$182)</f>
        <v>-16041.666666666668</v>
      </c>
      <c r="S21" s="88">
        <f>-SUMIFS(monthly!$129:$129,monthly!$9:$9,EOMONTH(S$9,-1)+1)/(1+условия!W$182)</f>
        <v>-21874.999999999989</v>
      </c>
      <c r="T21" s="88">
        <f>-SUMIFS(monthly!$129:$129,monthly!$9:$9,EOMONTH(T$9,-1)+1)/(1+условия!X$182)</f>
        <v>-29475.798150555529</v>
      </c>
      <c r="U21" s="88">
        <f>-SUMIFS(monthly!$129:$129,monthly!$9:$9,EOMONTH(U$9,-1)+1)/(1+условия!Y$182)</f>
        <v>-40611.525935555561</v>
      </c>
      <c r="V21" s="88">
        <f>-SUMIFS(monthly!$129:$129,monthly!$9:$9,EOMONTH(V$9,-1)+1)/(1+условия!Z$182)</f>
        <v>-51747.253720555578</v>
      </c>
      <c r="W21" s="88">
        <f>-SUMIFS(monthly!$129:$129,monthly!$9:$9,EOMONTH(W$9,-1)+1)/(1+условия!AA$182)</f>
        <v>-64446.896237102424</v>
      </c>
      <c r="X21" s="88">
        <f>-SUMIFS(monthly!$129:$129,monthly!$9:$9,EOMONTH(X$9,-1)+1)/(1+условия!AB$182)</f>
        <v>-81838.28294828975</v>
      </c>
      <c r="Y21" s="88">
        <f>-SUMIFS(monthly!$129:$129,monthly!$9:$9,EOMONTH(Y$9,-1)+1)/(1+условия!AC$182)</f>
        <v>-99229.669659477018</v>
      </c>
      <c r="Z21" s="65"/>
      <c r="AA21" s="65"/>
    </row>
    <row r="22" spans="1:27" s="93" customFormat="1" ht="6.6" x14ac:dyDescent="0.15">
      <c r="A22" s="90"/>
      <c r="B22" s="90"/>
      <c r="C22" s="90"/>
      <c r="D22" s="90"/>
      <c r="E22" s="9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0"/>
      <c r="AA22" s="90"/>
    </row>
    <row r="23" spans="1:27" s="101" customFormat="1" ht="6.6" x14ac:dyDescent="0.15">
      <c r="A23" s="99"/>
      <c r="B23" s="99"/>
      <c r="C23" s="99"/>
      <c r="D23" s="99"/>
      <c r="E23" s="9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99"/>
      <c r="AA23" s="99"/>
    </row>
    <row r="24" spans="1:27" s="77" customFormat="1" ht="15" thickBot="1" x14ac:dyDescent="0.35">
      <c r="A24" s="140"/>
      <c r="B24" s="140"/>
      <c r="C24" s="140"/>
      <c r="D24" s="140"/>
      <c r="E24" s="141"/>
      <c r="F24" s="142" t="str">
        <f>KPI!$F$213</f>
        <v>ОБОРОТНЫЕ АКТИВЫ</v>
      </c>
      <c r="G24" s="140"/>
      <c r="H24" s="140"/>
      <c r="I24" s="140"/>
      <c r="J24" s="142" t="str">
        <f>IF($F24="","",INDEX(KPI!$I$11:$I$275,SUMIFS(KPI!$E$11:$E$275,KPI!$F$11:$F$275,$F24)))</f>
        <v>тыс.руб.</v>
      </c>
      <c r="K24" s="140"/>
      <c r="L24" s="140"/>
      <c r="M24" s="140"/>
      <c r="N24" s="140"/>
      <c r="O24" s="140"/>
      <c r="P24" s="143">
        <f>SUM(P25:P36)</f>
        <v>4908.8924903546176</v>
      </c>
      <c r="Q24" s="143">
        <f t="shared" ref="Q24:Y24" si="4">SUM(Q25:Q36)</f>
        <v>28571.008568702335</v>
      </c>
      <c r="R24" s="143">
        <f t="shared" si="4"/>
        <v>73404.776192389225</v>
      </c>
      <c r="S24" s="143">
        <f t="shared" si="4"/>
        <v>88856.778197924534</v>
      </c>
      <c r="T24" s="143">
        <f t="shared" si="4"/>
        <v>101112.65970598663</v>
      </c>
      <c r="U24" s="143">
        <f t="shared" si="4"/>
        <v>261337.22258536756</v>
      </c>
      <c r="V24" s="143">
        <f t="shared" si="4"/>
        <v>198240.59769431502</v>
      </c>
      <c r="W24" s="143">
        <f t="shared" si="4"/>
        <v>405981.14651329367</v>
      </c>
      <c r="X24" s="143">
        <f t="shared" si="4"/>
        <v>792597.68717017444</v>
      </c>
      <c r="Y24" s="143">
        <f t="shared" si="4"/>
        <v>813598.63774385012</v>
      </c>
      <c r="Z24" s="140"/>
      <c r="AA24" s="140"/>
    </row>
    <row r="25" spans="1:27" s="93" customFormat="1" ht="7.2" thickTop="1" x14ac:dyDescent="0.15">
      <c r="A25" s="115"/>
      <c r="B25" s="115"/>
      <c r="C25" s="115"/>
      <c r="D25" s="115"/>
      <c r="E25" s="116"/>
      <c r="F25" s="117"/>
      <c r="G25" s="115"/>
      <c r="H25" s="115"/>
      <c r="I25" s="115"/>
      <c r="J25" s="117"/>
      <c r="K25" s="115"/>
      <c r="L25" s="115"/>
      <c r="M25" s="115"/>
      <c r="N25" s="115"/>
      <c r="O25" s="115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5"/>
      <c r="AA25" s="115"/>
    </row>
    <row r="26" spans="1:27" s="66" customFormat="1" ht="13.8" x14ac:dyDescent="0.3">
      <c r="A26" s="111"/>
      <c r="B26" s="111"/>
      <c r="C26" s="111"/>
      <c r="D26" s="111"/>
      <c r="E26" s="112"/>
      <c r="F26" s="119" t="str">
        <f>KPI!$F$210</f>
        <v>Остаток ДС на конец периода</v>
      </c>
      <c r="G26" s="111"/>
      <c r="H26" s="111"/>
      <c r="I26" s="111"/>
      <c r="J26" s="119" t="str">
        <f>IF($F26="","",INDEX(KPI!$I$11:$I$275,SUMIFS(KPI!$E$11:$E$275,KPI!$F$11:$F$275,$F26)))</f>
        <v>тыс.руб.</v>
      </c>
      <c r="K26" s="111"/>
      <c r="L26" s="111"/>
      <c r="M26" s="111"/>
      <c r="N26" s="111"/>
      <c r="O26" s="111"/>
      <c r="P26" s="120">
        <f>SUMIFS(CF!P:P,CF!$F:$F,$F26)</f>
        <v>0</v>
      </c>
      <c r="Q26" s="120">
        <f>SUMIFS(CF!Q:Q,CF!$F:$F,$F26)</f>
        <v>0</v>
      </c>
      <c r="R26" s="120">
        <f>SUMIFS(CF!R:R,CF!$F:$F,$F26)</f>
        <v>0</v>
      </c>
      <c r="S26" s="120">
        <f>SUMIFS(CF!S:S,CF!$F:$F,$F26)</f>
        <v>0</v>
      </c>
      <c r="T26" s="120">
        <f>SUMIFS(CF!T:T,CF!$F:$F,$F26)</f>
        <v>0</v>
      </c>
      <c r="U26" s="120">
        <f>SUMIFS(CF!U:U,CF!$F:$F,$F26)</f>
        <v>0</v>
      </c>
      <c r="V26" s="120">
        <f>SUMIFS(CF!V:V,CF!$F:$F,$F26)</f>
        <v>9937.8169854381122</v>
      </c>
      <c r="W26" s="120">
        <f>SUMIFS(CF!W:W,CF!$F:$F,$F26)</f>
        <v>124826.27616073145</v>
      </c>
      <c r="X26" s="120">
        <f>SUMIFS(CF!X:X,CF!$F:$F,$F26)</f>
        <v>531481.87319533504</v>
      </c>
      <c r="Y26" s="120">
        <f>SUMIFS(CF!Y:Y,CF!$F:$F,$F26)</f>
        <v>414711.01729000476</v>
      </c>
      <c r="Z26" s="111"/>
      <c r="AA26" s="111"/>
    </row>
    <row r="27" spans="1:27" s="101" customFormat="1" ht="6.6" x14ac:dyDescent="0.15">
      <c r="A27" s="126"/>
      <c r="B27" s="126"/>
      <c r="C27" s="126"/>
      <c r="D27" s="126"/>
      <c r="E27" s="11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6"/>
      <c r="AA27" s="126"/>
    </row>
    <row r="28" spans="1:27" s="66" customFormat="1" ht="13.8" x14ac:dyDescent="0.3">
      <c r="A28" s="111"/>
      <c r="B28" s="111"/>
      <c r="C28" s="111"/>
      <c r="D28" s="111"/>
      <c r="E28" s="112"/>
      <c r="F28" s="119" t="str">
        <f>KPI!$F$217</f>
        <v>Запасы сырья и материалов на конец периода</v>
      </c>
      <c r="G28" s="111"/>
      <c r="H28" s="111"/>
      <c r="I28" s="111"/>
      <c r="J28" s="119" t="str">
        <f>IF($F28="","",INDEX(KPI!$I$11:$I$275,SUMIFS(KPI!$E$11:$E$275,KPI!$F$11:$F$275,$F28)))</f>
        <v>тыс.руб.</v>
      </c>
      <c r="K28" s="111"/>
      <c r="L28" s="111"/>
      <c r="M28" s="111"/>
      <c r="N28" s="111"/>
      <c r="O28" s="111"/>
      <c r="P28" s="120">
        <f>SUMIFS(monthly!$211:$211,monthly!$9:$9,EOMONTH(P$9,-1)+1)/(1+условия!T$182)</f>
        <v>3688.0754529384135</v>
      </c>
      <c r="Q28" s="120">
        <f>SUMIFS(monthly!$211:$211,monthly!$9:$9,EOMONTH(Q$9,-1)+1)/(1+условия!U$182)</f>
        <v>24661.303977301737</v>
      </c>
      <c r="R28" s="120">
        <f>SUMIFS(monthly!$211:$211,monthly!$9:$9,EOMONTH(R$9,-1)+1)/(1+условия!V$182)</f>
        <v>61947.485412903894</v>
      </c>
      <c r="S28" s="120">
        <f>SUMIFS(monthly!$211:$211,monthly!$9:$9,EOMONTH(S$9,-1)+1)/(1+условия!W$182)</f>
        <v>63214.84224482032</v>
      </c>
      <c r="T28" s="120">
        <f>SUMIFS(monthly!$211:$211,monthly!$9:$9,EOMONTH(T$9,-1)+1)/(1+условия!X$182)</f>
        <v>48124.294340196706</v>
      </c>
      <c r="U28" s="120">
        <f>SUMIFS(monthly!$211:$211,monthly!$9:$9,EOMONTH(U$9,-1)+1)/(1+условия!Y$182)</f>
        <v>198270.97598896475</v>
      </c>
      <c r="V28" s="120">
        <f>SUMIFS(monthly!$211:$211,monthly!$9:$9,EOMONTH(V$9,-1)+1)/(1+условия!Z$182)</f>
        <v>92307.115536721438</v>
      </c>
      <c r="W28" s="120">
        <f>SUMIFS(monthly!$211:$211,monthly!$9:$9,EOMONTH(W$9,-1)+1)/(1+условия!AA$182)</f>
        <v>199646.3828833864</v>
      </c>
      <c r="X28" s="120">
        <f>SUMIFS(monthly!$211:$211,monthly!$9:$9,EOMONTH(X$9,-1)+1)/(1+условия!AB$182)</f>
        <v>146717.14094624805</v>
      </c>
      <c r="Y28" s="120">
        <f>SUMIFS(monthly!$211:$211,monthly!$9:$9,EOMONTH(Y$9,-1)+1)/(1+условия!AC$182)</f>
        <v>309732.00140436378</v>
      </c>
      <c r="Z28" s="111"/>
      <c r="AA28" s="111"/>
    </row>
    <row r="29" spans="1:27" s="93" customFormat="1" ht="6.6" x14ac:dyDescent="0.15">
      <c r="A29" s="115"/>
      <c r="B29" s="115"/>
      <c r="C29" s="115"/>
      <c r="D29" s="115"/>
      <c r="E29" s="116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15"/>
      <c r="AA29" s="115"/>
    </row>
    <row r="30" spans="1:27" s="66" customFormat="1" ht="13.8" x14ac:dyDescent="0.3">
      <c r="A30" s="111"/>
      <c r="B30" s="111"/>
      <c r="C30" s="111"/>
      <c r="D30" s="111"/>
      <c r="E30" s="112"/>
      <c r="F30" s="119" t="str">
        <f>KPI!$F$218</f>
        <v>Запасы готовой продукции на конец периода</v>
      </c>
      <c r="G30" s="111"/>
      <c r="H30" s="111"/>
      <c r="I30" s="111"/>
      <c r="J30" s="119" t="str">
        <f>IF($F30="","",INDEX(KPI!$I$11:$I$275,SUMIFS(KPI!$E$11:$E$275,KPI!$F$11:$F$275,$F30)))</f>
        <v>тыс.руб.</v>
      </c>
      <c r="K30" s="111"/>
      <c r="L30" s="111"/>
      <c r="M30" s="111"/>
      <c r="N30" s="111"/>
      <c r="O30" s="111"/>
      <c r="P30" s="120">
        <f>SUMIFS(monthly!$213:$213,monthly!$9:$9,EOMONTH(P$9,-1)+1)/(1+условия!T$182)</f>
        <v>1181.1104309645912</v>
      </c>
      <c r="Q30" s="120">
        <f>SUMIFS(monthly!$213:$213,monthly!$9:$9,EOMONTH(Q$9,-1)+1)/(1+условия!U$182)</f>
        <v>3595.5280287373716</v>
      </c>
      <c r="R30" s="120">
        <f>SUMIFS(monthly!$213:$213,monthly!$9:$9,EOMONTH(R$9,-1)+1)/(1+условия!V$182)</f>
        <v>10359.694639841471</v>
      </c>
      <c r="S30" s="120">
        <f>SUMIFS(monthly!$213:$213,monthly!$9:$9,EOMONTH(S$9,-1)+1)/(1+условия!W$182)</f>
        <v>23056.269703979047</v>
      </c>
      <c r="T30" s="120">
        <f>SUMIFS(monthly!$213:$213,monthly!$9:$9,EOMONTH(T$9,-1)+1)/(1+условия!X$182)</f>
        <v>47098.459175125245</v>
      </c>
      <c r="U30" s="120">
        <f>SUMIFS(monthly!$213:$213,monthly!$9:$9,EOMONTH(U$9,-1)+1)/(1+условия!Y$182)</f>
        <v>52592.241929329568</v>
      </c>
      <c r="V30" s="120">
        <f>SUMIFS(monthly!$213:$213,monthly!$9:$9,EOMONTH(V$9,-1)+1)/(1+условия!Z$182)</f>
        <v>81437.742059500437</v>
      </c>
      <c r="W30" s="120">
        <f>SUMIFS(monthly!$213:$213,monthly!$9:$9,EOMONTH(W$9,-1)+1)/(1+условия!AA$182)</f>
        <v>64515.253556635318</v>
      </c>
      <c r="X30" s="120">
        <f>SUMIFS(monthly!$213:$213,monthly!$9:$9,EOMONTH(X$9,-1)+1)/(1+условия!AB$182)</f>
        <v>95458.201882767302</v>
      </c>
      <c r="Y30" s="120">
        <f>SUMIFS(monthly!$213:$213,monthly!$9:$9,EOMONTH(Y$9,-1)+1)/(1+условия!AC$182)</f>
        <v>69641.522743839843</v>
      </c>
      <c r="Z30" s="111"/>
      <c r="AA30" s="111"/>
    </row>
    <row r="31" spans="1:27" s="93" customFormat="1" ht="6.6" x14ac:dyDescent="0.15">
      <c r="A31" s="115"/>
      <c r="B31" s="115"/>
      <c r="C31" s="115"/>
      <c r="D31" s="115"/>
      <c r="E31" s="11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15"/>
      <c r="AA31" s="115"/>
    </row>
    <row r="32" spans="1:27" s="66" customFormat="1" ht="13.8" x14ac:dyDescent="0.3">
      <c r="A32" s="111"/>
      <c r="B32" s="111"/>
      <c r="C32" s="111"/>
      <c r="D32" s="111"/>
      <c r="E32" s="112"/>
      <c r="F32" s="119" t="str">
        <f>KPI!$F$219</f>
        <v>Дебиторская задолженность</v>
      </c>
      <c r="G32" s="111"/>
      <c r="H32" s="111"/>
      <c r="I32" s="111"/>
      <c r="J32" s="119" t="str">
        <f>IF($F32="","",INDEX(KPI!$I$11:$I$275,SUMIFS(KPI!$E$11:$E$275,KPI!$F$11:$F$275,$F32)))</f>
        <v>тыс.руб.</v>
      </c>
      <c r="K32" s="111"/>
      <c r="L32" s="111"/>
      <c r="M32" s="111"/>
      <c r="N32" s="111"/>
      <c r="O32" s="111"/>
      <c r="P32" s="120">
        <f>SUMIFS(monthly!$177:$177,monthly!$9:$9,EOMONTH(P$9,-1)+1)</f>
        <v>39.706606451612913</v>
      </c>
      <c r="Q32" s="120">
        <f>SUMIFS(monthly!$177:$177,monthly!$9:$9,EOMONTH(Q$9,-1)+1)</f>
        <v>314.1765626632257</v>
      </c>
      <c r="R32" s="120">
        <f>SUMIFS(monthly!$177:$177,monthly!$9:$9,EOMONTH(R$9,-1)+1)</f>
        <v>1097.5961396438715</v>
      </c>
      <c r="S32" s="120">
        <f>SUMIFS(monthly!$177:$177,monthly!$9:$9,EOMONTH(S$9,-1)+1)</f>
        <v>2585.6662491251655</v>
      </c>
      <c r="T32" s="120">
        <f>SUMIFS(monthly!$177:$177,monthly!$9:$9,EOMONTH(T$9,-1)+1)</f>
        <v>5889.9061906646821</v>
      </c>
      <c r="U32" s="120">
        <f>SUMIFS(monthly!$177:$177,monthly!$9:$9,EOMONTH(U$9,-1)+1)</f>
        <v>10474.004667073263</v>
      </c>
      <c r="V32" s="120">
        <f>SUMIFS(monthly!$177:$177,monthly!$9:$9,EOMONTH(V$9,-1)+1)</f>
        <v>14557.923112655044</v>
      </c>
      <c r="W32" s="120">
        <f>SUMIFS(monthly!$177:$177,monthly!$9:$9,EOMONTH(W$9,-1)+1)</f>
        <v>16993.23391254052</v>
      </c>
      <c r="X32" s="120">
        <f>SUMIFS(monthly!$177:$177,monthly!$9:$9,EOMONTH(X$9,-1)+1)</f>
        <v>18940.471145824056</v>
      </c>
      <c r="Y32" s="120">
        <f>SUMIFS(monthly!$177:$177,monthly!$9:$9,EOMONTH(Y$9,-1)+1)</f>
        <v>19514.096305641644</v>
      </c>
      <c r="Z32" s="111"/>
      <c r="AA32" s="111"/>
    </row>
    <row r="33" spans="1:27" s="93" customFormat="1" ht="6.6" x14ac:dyDescent="0.15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</row>
    <row r="34" spans="1:27" s="66" customFormat="1" ht="13.8" x14ac:dyDescent="0.3">
      <c r="A34" s="111"/>
      <c r="B34" s="111"/>
      <c r="C34" s="111"/>
      <c r="D34" s="111"/>
      <c r="E34" s="112"/>
      <c r="F34" s="119" t="str">
        <f>KPI!$F$248</f>
        <v>НДС к возмещению</v>
      </c>
      <c r="G34" s="111"/>
      <c r="H34" s="111"/>
      <c r="I34" s="111"/>
      <c r="J34" s="119" t="str">
        <f>IF($F34="","",INDEX(KPI!$I$11:$I$275,SUMIFS(KPI!$E$11:$E$275,KPI!$F$11:$F$275,$F34)))</f>
        <v>тыс.руб.</v>
      </c>
      <c r="K34" s="111"/>
      <c r="L34" s="111"/>
      <c r="M34" s="111"/>
      <c r="N34" s="111"/>
      <c r="O34" s="111"/>
      <c r="P34" s="120">
        <f>IF(SUMIFS(monthly!$219:$219,monthly!$9:$9,EOMONTH(P$9,-1)+1)&lt;0,-SUMIFS(monthly!$219:$219,monthly!$9:$9,EOMONTH(P$9,-1)+1),0)</f>
        <v>0</v>
      </c>
      <c r="Q34" s="120">
        <f>IF(SUMIFS(monthly!$219:$219,monthly!$9:$9,EOMONTH(Q$9,-1)+1)&lt;0,-SUMIFS(monthly!$219:$219,monthly!$9:$9,EOMONTH(Q$9,-1)+1),0)</f>
        <v>0</v>
      </c>
      <c r="R34" s="120">
        <f>IF(SUMIFS(monthly!$219:$219,monthly!$9:$9,EOMONTH(R$9,-1)+1)&lt;0,-SUMIFS(monthly!$219:$219,monthly!$9:$9,EOMONTH(R$9,-1)+1),0)</f>
        <v>0</v>
      </c>
      <c r="S34" s="120">
        <f>IF(SUMIFS(monthly!$219:$219,monthly!$9:$9,EOMONTH(S$9,-1)+1)&lt;0,-SUMIFS(monthly!$219:$219,monthly!$9:$9,EOMONTH(S$9,-1)+1),0)</f>
        <v>0</v>
      </c>
      <c r="T34" s="120">
        <f>IF(SUMIFS(monthly!$219:$219,monthly!$9:$9,EOMONTH(T$9,-1)+1)&lt;0,-SUMIFS(monthly!$219:$219,monthly!$9:$9,EOMONTH(T$9,-1)+1),0)</f>
        <v>0</v>
      </c>
      <c r="U34" s="120">
        <f>IF(SUMIFS(monthly!$219:$219,monthly!$9:$9,EOMONTH(U$9,-1)+1)&lt;0,-SUMIFS(monthly!$219:$219,monthly!$9:$9,EOMONTH(U$9,-1)+1),0)</f>
        <v>0</v>
      </c>
      <c r="V34" s="120">
        <f>IF(SUMIFS(monthly!$219:$219,monthly!$9:$9,EOMONTH(V$9,-1)+1)&lt;0,-SUMIFS(monthly!$219:$219,monthly!$9:$9,EOMONTH(V$9,-1)+1),0)</f>
        <v>0</v>
      </c>
      <c r="W34" s="120">
        <f>IF(SUMIFS(monthly!$219:$219,monthly!$9:$9,EOMONTH(W$9,-1)+1)&lt;0,-SUMIFS(monthly!$219:$219,monthly!$9:$9,EOMONTH(W$9,-1)+1),0)</f>
        <v>0</v>
      </c>
      <c r="X34" s="120">
        <f>IF(SUMIFS(monthly!$219:$219,monthly!$9:$9,EOMONTH(X$9,-1)+1)&lt;0,-SUMIFS(monthly!$219:$219,monthly!$9:$9,EOMONTH(X$9,-1)+1),0)</f>
        <v>0</v>
      </c>
      <c r="Y34" s="120">
        <f>IF(SUMIFS(monthly!$219:$219,monthly!$9:$9,EOMONTH(Y$9,-1)+1)&lt;0,-SUMIFS(monthly!$219:$219,monthly!$9:$9,EOMONTH(Y$9,-1)+1),0)</f>
        <v>0</v>
      </c>
      <c r="Z34" s="111"/>
      <c r="AA34" s="111"/>
    </row>
    <row r="35" spans="1:27" s="93" customFormat="1" ht="6.6" x14ac:dyDescent="0.15">
      <c r="A35" s="115"/>
      <c r="B35" s="115"/>
      <c r="C35" s="115"/>
      <c r="D35" s="115"/>
      <c r="E35" s="116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15"/>
      <c r="AA35" s="115"/>
    </row>
    <row r="36" spans="1:27" s="101" customFormat="1" ht="6.6" x14ac:dyDescent="0.15">
      <c r="A36" s="126"/>
      <c r="B36" s="126"/>
      <c r="C36" s="126"/>
      <c r="D36" s="126"/>
      <c r="E36" s="116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26"/>
      <c r="AA36" s="126"/>
    </row>
    <row r="37" spans="1:27" s="11" customFormat="1" x14ac:dyDescent="0.25">
      <c r="A37" s="10"/>
      <c r="B37" s="10"/>
      <c r="C37" s="10"/>
      <c r="D37" s="10"/>
      <c r="E37" s="139"/>
      <c r="F37" s="151" t="str">
        <f>KPI!$F$220</f>
        <v>ПАССИВЫ на конец периода</v>
      </c>
      <c r="G37" s="10"/>
      <c r="H37" s="10"/>
      <c r="I37" s="10"/>
      <c r="J37" s="154" t="str">
        <f>IF($F37="","",INDEX(KPI!$I$11:$I$275,SUMIFS(KPI!$E$11:$E$275,KPI!$F$11:$F$275,$F37)))</f>
        <v>тыс.руб.</v>
      </c>
      <c r="K37" s="10"/>
      <c r="L37" s="10"/>
      <c r="M37" s="10"/>
      <c r="N37" s="10"/>
      <c r="O37" s="10"/>
      <c r="P37" s="155">
        <f t="shared" ref="P37:Y37" si="5">P39+P41+P46</f>
        <v>58867.225823687942</v>
      </c>
      <c r="Q37" s="155">
        <f t="shared" si="5"/>
        <v>76696.008568702309</v>
      </c>
      <c r="R37" s="155">
        <f t="shared" si="5"/>
        <v>115696.44285905582</v>
      </c>
      <c r="S37" s="155">
        <f t="shared" si="5"/>
        <v>125315.1115312578</v>
      </c>
      <c r="T37" s="155">
        <f t="shared" si="5"/>
        <v>182994.13940543091</v>
      </c>
      <c r="U37" s="155">
        <f t="shared" si="5"/>
        <v>332082.97449981188</v>
      </c>
      <c r="V37" s="155">
        <f t="shared" si="5"/>
        <v>257850.62182375899</v>
      </c>
      <c r="W37" s="155">
        <f t="shared" si="5"/>
        <v>515448.11738806439</v>
      </c>
      <c r="X37" s="155">
        <f t="shared" si="5"/>
        <v>884673.27133375779</v>
      </c>
      <c r="Y37" s="155">
        <f t="shared" si="5"/>
        <v>888282.83519624593</v>
      </c>
      <c r="Z37" s="10"/>
      <c r="AA37" s="10"/>
    </row>
    <row r="38" spans="1:27" s="93" customFormat="1" ht="6.6" x14ac:dyDescent="0.15">
      <c r="A38" s="90"/>
      <c r="B38" s="90"/>
      <c r="C38" s="90"/>
      <c r="D38" s="90"/>
      <c r="E38" s="91"/>
      <c r="F38" s="96"/>
      <c r="G38" s="90"/>
      <c r="H38" s="90"/>
      <c r="I38" s="90"/>
      <c r="J38" s="96"/>
      <c r="K38" s="90"/>
      <c r="L38" s="90"/>
      <c r="M38" s="90"/>
      <c r="N38" s="90"/>
      <c r="O38" s="90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0"/>
      <c r="AA38" s="90"/>
    </row>
    <row r="39" spans="1:27" s="77" customFormat="1" ht="15" thickBot="1" x14ac:dyDescent="0.35">
      <c r="A39" s="75"/>
      <c r="B39" s="75"/>
      <c r="C39" s="75"/>
      <c r="D39" s="75"/>
      <c r="E39" s="76"/>
      <c r="F39" s="78" t="str">
        <f>KPI!$F$221</f>
        <v>СОБСТВЕННЫЙ КАПИТАЛ</v>
      </c>
      <c r="G39" s="75"/>
      <c r="H39" s="75"/>
      <c r="I39" s="75"/>
      <c r="J39" s="78" t="str">
        <f>IF($F39="","",INDEX(KPI!$I$11:$I$275,SUMIFS(KPI!$E$11:$E$275,KPI!$F$11:$F$275,$F39)))</f>
        <v>тыс.руб.</v>
      </c>
      <c r="K39" s="75"/>
      <c r="L39" s="75"/>
      <c r="M39" s="75"/>
      <c r="N39" s="75"/>
      <c r="O39" s="75"/>
      <c r="P39" s="79">
        <f>SUM(PL_f!$P$52:P$52)</f>
        <v>-33333.870845397592</v>
      </c>
      <c r="Q39" s="79">
        <f>SUM(PL_f!$P$52:Q$52)</f>
        <v>-93574.729450235231</v>
      </c>
      <c r="R39" s="79">
        <f>SUM(PL_f!$P$52:R$52)</f>
        <v>-145246.59407986345</v>
      </c>
      <c r="S39" s="79">
        <f>SUM(PL_f!$P$52:S$52)</f>
        <v>-172039.58149476323</v>
      </c>
      <c r="T39" s="79">
        <f>SUM(PL_f!$P$52:T$52)</f>
        <v>-148422.92374269629</v>
      </c>
      <c r="U39" s="79">
        <f>SUM(PL_f!$P$52:U$52)</f>
        <v>-83386.963567419269</v>
      </c>
      <c r="V39" s="79">
        <f>SUM(PL_f!$P$52:V$52)</f>
        <v>42990.410723286244</v>
      </c>
      <c r="W39" s="79">
        <f>SUM(PL_f!$P$52:W$52)</f>
        <v>212493.05232558612</v>
      </c>
      <c r="X39" s="79">
        <f>SUM(PL_f!$P$52:X$52)</f>
        <v>390170.38807289954</v>
      </c>
      <c r="Y39" s="79">
        <f>SUM(PL_f!$P$52:Y$52)</f>
        <v>577103.81223306409</v>
      </c>
      <c r="Z39" s="75"/>
      <c r="AA39" s="75"/>
    </row>
    <row r="40" spans="1:27" s="93" customFormat="1" ht="7.2" thickTop="1" x14ac:dyDescent="0.15">
      <c r="A40" s="90"/>
      <c r="B40" s="90"/>
      <c r="C40" s="90"/>
      <c r="D40" s="90"/>
      <c r="E40" s="91"/>
      <c r="F40" s="94"/>
      <c r="G40" s="90"/>
      <c r="H40" s="90"/>
      <c r="I40" s="90"/>
      <c r="J40" s="94"/>
      <c r="K40" s="90"/>
      <c r="L40" s="90"/>
      <c r="M40" s="90"/>
      <c r="N40" s="90"/>
      <c r="O40" s="90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0"/>
      <c r="AA40" s="90"/>
    </row>
    <row r="41" spans="1:27" s="77" customFormat="1" ht="15" thickBot="1" x14ac:dyDescent="0.35">
      <c r="A41" s="140"/>
      <c r="B41" s="140"/>
      <c r="C41" s="140"/>
      <c r="D41" s="140"/>
      <c r="E41" s="141"/>
      <c r="F41" s="142" t="str">
        <f>KPI!$F$222</f>
        <v>ДОЛГОСРОЧНАЯ КРЕДИТОРСКАЯ ЗАДОЛЖЕННОСТЬ</v>
      </c>
      <c r="G41" s="140"/>
      <c r="H41" s="140"/>
      <c r="I41" s="140"/>
      <c r="J41" s="142" t="str">
        <f>IF($F41="","",INDEX(KPI!$I$11:$I$275,SUMIFS(KPI!$E$11:$E$275,KPI!$F$11:$F$275,$F41)))</f>
        <v>тыс.руб.</v>
      </c>
      <c r="K41" s="140"/>
      <c r="L41" s="140"/>
      <c r="M41" s="140"/>
      <c r="N41" s="140"/>
      <c r="O41" s="140"/>
      <c r="P41" s="143">
        <f t="shared" ref="P41:Y41" si="6">SUM(P42:P45)</f>
        <v>70000</v>
      </c>
      <c r="Q41" s="143">
        <f t="shared" si="6"/>
        <v>70000</v>
      </c>
      <c r="R41" s="143">
        <f t="shared" si="6"/>
        <v>70000</v>
      </c>
      <c r="S41" s="143">
        <f t="shared" si="6"/>
        <v>70000</v>
      </c>
      <c r="T41" s="143">
        <f t="shared" si="6"/>
        <v>133628.73342</v>
      </c>
      <c r="U41" s="143">
        <f t="shared" si="6"/>
        <v>133628.73342</v>
      </c>
      <c r="V41" s="143">
        <f t="shared" si="6"/>
        <v>133628.73342</v>
      </c>
      <c r="W41" s="143">
        <f t="shared" si="6"/>
        <v>208696.64053424765</v>
      </c>
      <c r="X41" s="143">
        <f t="shared" si="6"/>
        <v>208696.64053424765</v>
      </c>
      <c r="Y41" s="143">
        <f t="shared" si="6"/>
        <v>208696.64053424765</v>
      </c>
      <c r="Z41" s="140"/>
      <c r="AA41" s="140"/>
    </row>
    <row r="42" spans="1:27" s="93" customFormat="1" ht="7.2" thickTop="1" x14ac:dyDescent="0.15">
      <c r="A42" s="115"/>
      <c r="B42" s="115"/>
      <c r="C42" s="115"/>
      <c r="D42" s="115"/>
      <c r="E42" s="116"/>
      <c r="F42" s="117"/>
      <c r="G42" s="115"/>
      <c r="H42" s="115"/>
      <c r="I42" s="115"/>
      <c r="J42" s="117"/>
      <c r="K42" s="115"/>
      <c r="L42" s="115"/>
      <c r="M42" s="115"/>
      <c r="N42" s="115"/>
      <c r="O42" s="115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5"/>
      <c r="AA42" s="115"/>
    </row>
    <row r="43" spans="1:27" s="66" customFormat="1" ht="13.8" x14ac:dyDescent="0.3">
      <c r="A43" s="111"/>
      <c r="B43" s="111"/>
      <c r="C43" s="111"/>
      <c r="D43" s="111"/>
      <c r="E43" s="112"/>
      <c r="F43" s="119" t="str">
        <f>KPI!$F$223</f>
        <v>КЗ по инвестициям</v>
      </c>
      <c r="G43" s="111"/>
      <c r="H43" s="111"/>
      <c r="I43" s="111"/>
      <c r="J43" s="119" t="str">
        <f>IF($F43="","",INDEX(KPI!$I$11:$I$275,SUMIFS(KPI!$E$11:$E$275,KPI!$F$11:$F$275,$F43)))</f>
        <v>тыс.руб.</v>
      </c>
      <c r="K43" s="111"/>
      <c r="L43" s="111"/>
      <c r="M43" s="111"/>
      <c r="N43" s="111"/>
      <c r="O43" s="111"/>
      <c r="P43" s="120">
        <f>SUMIFS(monthly!$139:$139,monthly!$9:$9,EOMONTH(P$9,-1)+1)</f>
        <v>70000</v>
      </c>
      <c r="Q43" s="120">
        <f>SUMIFS(monthly!$139:$139,monthly!$9:$9,EOMONTH(Q$9,-1)+1)</f>
        <v>70000</v>
      </c>
      <c r="R43" s="120">
        <f>SUMIFS(monthly!$139:$139,monthly!$9:$9,EOMONTH(R$9,-1)+1)</f>
        <v>70000</v>
      </c>
      <c r="S43" s="120">
        <f>SUMIFS(monthly!$139:$139,monthly!$9:$9,EOMONTH(S$9,-1)+1)</f>
        <v>70000</v>
      </c>
      <c r="T43" s="120">
        <f>SUMIFS(monthly!$139:$139,monthly!$9:$9,EOMONTH(T$9,-1)+1)</f>
        <v>133628.73342</v>
      </c>
      <c r="U43" s="120">
        <f>SUMIFS(monthly!$139:$139,monthly!$9:$9,EOMONTH(U$9,-1)+1)</f>
        <v>133628.73342</v>
      </c>
      <c r="V43" s="120">
        <f>SUMIFS(monthly!$139:$139,monthly!$9:$9,EOMONTH(V$9,-1)+1)</f>
        <v>133628.73342</v>
      </c>
      <c r="W43" s="120">
        <f>SUMIFS(monthly!$139:$139,monthly!$9:$9,EOMONTH(W$9,-1)+1)</f>
        <v>208696.64053424765</v>
      </c>
      <c r="X43" s="120">
        <f>SUMIFS(monthly!$139:$139,monthly!$9:$9,EOMONTH(X$9,-1)+1)</f>
        <v>208696.64053424765</v>
      </c>
      <c r="Y43" s="120">
        <f>SUMIFS(monthly!$139:$139,monthly!$9:$9,EOMONTH(Y$9,-1)+1)</f>
        <v>208696.64053424765</v>
      </c>
      <c r="Z43" s="111"/>
      <c r="AA43" s="111"/>
    </row>
    <row r="44" spans="1:27" s="101" customFormat="1" ht="6.6" x14ac:dyDescent="0.15">
      <c r="A44" s="126"/>
      <c r="B44" s="126"/>
      <c r="C44" s="126"/>
      <c r="D44" s="126"/>
      <c r="E44" s="11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6"/>
      <c r="AA44" s="126"/>
    </row>
    <row r="45" spans="1:27" s="101" customFormat="1" ht="6.6" x14ac:dyDescent="0.15">
      <c r="A45" s="126"/>
      <c r="B45" s="126"/>
      <c r="C45" s="126"/>
      <c r="D45" s="126"/>
      <c r="E45" s="116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26"/>
      <c r="AA45" s="126"/>
    </row>
    <row r="46" spans="1:27" s="77" customFormat="1" ht="15" thickBot="1" x14ac:dyDescent="0.35">
      <c r="A46" s="75"/>
      <c r="B46" s="75"/>
      <c r="C46" s="75"/>
      <c r="D46" s="75"/>
      <c r="E46" s="76"/>
      <c r="F46" s="78" t="str">
        <f>KPI!$F$225</f>
        <v>КРАТКОСРОЧНАЯ КРЕДИТОРСКАЯ ЗАДОЛЖЕННОСТЬ</v>
      </c>
      <c r="G46" s="75"/>
      <c r="H46" s="75"/>
      <c r="I46" s="75"/>
      <c r="J46" s="78" t="str">
        <f>IF($F46="","",INDEX(KPI!$I$11:$I$275,SUMIFS(KPI!$E$11:$E$275,KPI!$F$11:$F$275,$F46)))</f>
        <v>тыс.руб.</v>
      </c>
      <c r="K46" s="75"/>
      <c r="L46" s="75"/>
      <c r="M46" s="75"/>
      <c r="N46" s="75"/>
      <c r="O46" s="75"/>
      <c r="P46" s="79">
        <f>SUM(P47:P74)</f>
        <v>22201.096669085538</v>
      </c>
      <c r="Q46" s="79">
        <f t="shared" ref="Q46" si="7">SUM(Q47:Q74)</f>
        <v>100270.73801893754</v>
      </c>
      <c r="R46" s="79">
        <f t="shared" ref="R46" si="8">SUM(R47:R74)</f>
        <v>190943.03693891928</v>
      </c>
      <c r="S46" s="79">
        <f>SUM(S47:S74)</f>
        <v>227354.69302602104</v>
      </c>
      <c r="T46" s="79">
        <f t="shared" ref="T46" si="9">SUM(T47:T74)</f>
        <v>197788.3297281272</v>
      </c>
      <c r="U46" s="79">
        <f>SUM(U47:U74)</f>
        <v>281841.20464723115</v>
      </c>
      <c r="V46" s="79">
        <f t="shared" ref="V46" si="10">SUM(V47:V74)</f>
        <v>81231.477680472759</v>
      </c>
      <c r="W46" s="79">
        <f t="shared" ref="W46" si="11">SUM(W47:W74)</f>
        <v>94258.424528230636</v>
      </c>
      <c r="X46" s="79">
        <f t="shared" ref="X46" si="12">SUM(X47:X74)</f>
        <v>285806.24272661057</v>
      </c>
      <c r="Y46" s="79">
        <f t="shared" ref="Y46" si="13">SUM(Y47:Y74)</f>
        <v>102482.38242893419</v>
      </c>
      <c r="Z46" s="75"/>
      <c r="AA46" s="75"/>
    </row>
    <row r="47" spans="1:27" s="93" customFormat="1" ht="7.2" thickTop="1" x14ac:dyDescent="0.15">
      <c r="A47" s="90"/>
      <c r="B47" s="90"/>
      <c r="C47" s="90"/>
      <c r="D47" s="90"/>
      <c r="E47" s="91"/>
      <c r="F47" s="94"/>
      <c r="G47" s="90"/>
      <c r="H47" s="90"/>
      <c r="I47" s="90"/>
      <c r="J47" s="94"/>
      <c r="K47" s="90"/>
      <c r="L47" s="90"/>
      <c r="M47" s="90"/>
      <c r="N47" s="90"/>
      <c r="O47" s="90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0"/>
      <c r="AA47" s="90"/>
    </row>
    <row r="48" spans="1:27" s="66" customFormat="1" ht="13.8" x14ac:dyDescent="0.3">
      <c r="A48" s="65"/>
      <c r="B48" s="65"/>
      <c r="C48" s="65"/>
      <c r="D48" s="65"/>
      <c r="E48" s="72"/>
      <c r="F48" s="85" t="str">
        <f>KPI!$F$226</f>
        <v>КЗ по овердрафту</v>
      </c>
      <c r="G48" s="65"/>
      <c r="H48" s="65"/>
      <c r="I48" s="65"/>
      <c r="J48" s="85" t="str">
        <f>IF($F48="","",INDEX(KPI!$I$11:$I$275,SUMIFS(KPI!$E$11:$E$275,KPI!$F$11:$F$275,$F48)))</f>
        <v>тыс.руб.</v>
      </c>
      <c r="K48" s="65"/>
      <c r="L48" s="65"/>
      <c r="M48" s="65"/>
      <c r="N48" s="65"/>
      <c r="O48" s="65"/>
      <c r="P48" s="88">
        <f>SUMIFS(monthly!$195:$195,monthly!$9:$9,EOMONTH(P$9,-1)+1)</f>
        <v>20966.128110419824</v>
      </c>
      <c r="Q48" s="88">
        <f>SUMIFS(monthly!$195:$195,monthly!$9:$9,EOMONTH(Q$9,-1)+1)</f>
        <v>96961.667013835802</v>
      </c>
      <c r="R48" s="88">
        <f>SUMIFS(monthly!$195:$195,monthly!$9:$9,EOMONTH(R$9,-1)+1)</f>
        <v>183923.81522224861</v>
      </c>
      <c r="S48" s="88">
        <f>SUMIFS(monthly!$195:$195,monthly!$9:$9,EOMONTH(S$9,-1)+1)</f>
        <v>216723.02295029486</v>
      </c>
      <c r="T48" s="88">
        <f>SUMIFS(monthly!$195:$195,monthly!$9:$9,EOMONTH(T$9,-1)+1)</f>
        <v>158375.56265308801</v>
      </c>
      <c r="U48" s="88">
        <f>SUMIFS(monthly!$195:$195,monthly!$9:$9,EOMONTH(U$9,-1)+1)</f>
        <v>228620.49949432357</v>
      </c>
      <c r="V48" s="88">
        <f>SUMIFS(monthly!$195:$195,monthly!$9:$9,EOMONTH(V$9,-1)+1)</f>
        <v>0</v>
      </c>
      <c r="W48" s="88">
        <f>SUMIFS(monthly!$195:$195,monthly!$9:$9,EOMONTH(W$9,-1)+1)</f>
        <v>0</v>
      </c>
      <c r="X48" s="88">
        <f>SUMIFS(monthly!$195:$195,monthly!$9:$9,EOMONTH(X$9,-1)+1)</f>
        <v>0</v>
      </c>
      <c r="Y48" s="88">
        <f>SUMIFS(monthly!$195:$195,monthly!$9:$9,EOMONTH(Y$9,-1)+1)</f>
        <v>0</v>
      </c>
      <c r="Z48" s="65"/>
      <c r="AA48" s="65"/>
    </row>
    <row r="49" spans="1:27" s="101" customFormat="1" ht="6.6" x14ac:dyDescent="0.15">
      <c r="A49" s="99"/>
      <c r="B49" s="99"/>
      <c r="C49" s="99"/>
      <c r="D49" s="99"/>
      <c r="E49" s="91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99"/>
      <c r="AA49" s="99"/>
    </row>
    <row r="50" spans="1:27" s="66" customFormat="1" ht="13.8" x14ac:dyDescent="0.3">
      <c r="A50" s="65"/>
      <c r="B50" s="65"/>
      <c r="C50" s="65"/>
      <c r="D50" s="65"/>
      <c r="E50" s="72"/>
      <c r="F50" s="85" t="str">
        <f>KPI!$F$227</f>
        <v>КЗ по %-там по овердрафту</v>
      </c>
      <c r="G50" s="65"/>
      <c r="H50" s="65"/>
      <c r="I50" s="65"/>
      <c r="J50" s="85" t="str">
        <f>IF($F50="","",INDEX(KPI!$I$11:$I$275,SUMIFS(KPI!$E$11:$E$275,KPI!$F$11:$F$275,$F50)))</f>
        <v>тыс.руб.</v>
      </c>
      <c r="K50" s="65"/>
      <c r="L50" s="65"/>
      <c r="M50" s="65"/>
      <c r="N50" s="65"/>
      <c r="O50" s="65"/>
      <c r="P50" s="88">
        <f>SUMIFS(monthly!$203:$203,monthly!$9:$9,EOMONTH(P$9,-1)+1)</f>
        <v>262.07660138024789</v>
      </c>
      <c r="Q50" s="88">
        <f>SUMIFS(monthly!$203:$203,monthly!$9:$9,EOMONTH(Q$9,-1)+1)</f>
        <v>1212.0208376729479</v>
      </c>
      <c r="R50" s="88">
        <f>SUMIFS(monthly!$203:$203,monthly!$9:$9,EOMONTH(R$9,-1)+1)</f>
        <v>1839.238152222486</v>
      </c>
      <c r="S50" s="88">
        <f>SUMIFS(monthly!$203:$203,monthly!$9:$9,EOMONTH(S$9,-1)+1)</f>
        <v>0</v>
      </c>
      <c r="T50" s="88">
        <f>SUMIFS(monthly!$203:$203,monthly!$9:$9,EOMONTH(T$9,-1)+1)</f>
        <v>0</v>
      </c>
      <c r="U50" s="88">
        <f>SUMIFS(monthly!$203:$203,monthly!$9:$9,EOMONTH(U$9,-1)+1)</f>
        <v>3525.4831305577682</v>
      </c>
      <c r="V50" s="88">
        <f>SUMIFS(monthly!$203:$203,monthly!$9:$9,EOMONTH(V$9,-1)+1)</f>
        <v>0</v>
      </c>
      <c r="W50" s="88">
        <f>SUMIFS(monthly!$203:$203,monthly!$9:$9,EOMONTH(W$9,-1)+1)</f>
        <v>0</v>
      </c>
      <c r="X50" s="88">
        <f>SUMIFS(monthly!$203:$203,monthly!$9:$9,EOMONTH(X$9,-1)+1)</f>
        <v>0</v>
      </c>
      <c r="Y50" s="88">
        <f>SUMIFS(monthly!$203:$203,monthly!$9:$9,EOMONTH(Y$9,-1)+1)</f>
        <v>0</v>
      </c>
      <c r="Z50" s="65"/>
      <c r="AA50" s="65"/>
    </row>
    <row r="51" spans="1:27" s="93" customFormat="1" ht="6.6" x14ac:dyDescent="0.15">
      <c r="A51" s="90"/>
      <c r="B51" s="90"/>
      <c r="C51" s="90"/>
      <c r="D51" s="90"/>
      <c r="E51" s="91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0"/>
      <c r="AA51" s="90"/>
    </row>
    <row r="52" spans="1:27" s="66" customFormat="1" ht="13.8" x14ac:dyDescent="0.3">
      <c r="A52" s="65"/>
      <c r="B52" s="65"/>
      <c r="C52" s="65"/>
      <c r="D52" s="65"/>
      <c r="E52" s="72"/>
      <c r="F52" s="85" t="str">
        <f>KPI!$F$228</f>
        <v>КЗ перед подрядчиками по кап. затратам</v>
      </c>
      <c r="G52" s="65"/>
      <c r="H52" s="65"/>
      <c r="I52" s="65"/>
      <c r="J52" s="85" t="str">
        <f>IF($F52="","",INDEX(KPI!$I$11:$I$275,SUMIFS(KPI!$E$11:$E$275,KPI!$F$11:$F$275,$F52)))</f>
        <v>тыс.руб.</v>
      </c>
      <c r="K52" s="65"/>
      <c r="L52" s="65"/>
      <c r="M52" s="65"/>
      <c r="N52" s="65"/>
      <c r="O52" s="65"/>
      <c r="P52" s="88">
        <f>SUMIFS(monthly!$133:$133,monthly!$9:$9,EOMONTH(P$9,-1)+1)</f>
        <v>0</v>
      </c>
      <c r="Q52" s="88">
        <f>SUMIFS(monthly!$133:$133,monthly!$9:$9,EOMONTH(Q$9,-1)+1)</f>
        <v>0</v>
      </c>
      <c r="R52" s="88">
        <f>SUMIFS(monthly!$133:$133,monthly!$9:$9,EOMONTH(R$9,-1)+1)</f>
        <v>0</v>
      </c>
      <c r="S52" s="88">
        <f>SUMIFS(monthly!$133:$133,monthly!$9:$9,EOMONTH(S$9,-1)+1)</f>
        <v>0</v>
      </c>
      <c r="T52" s="88">
        <f>SUMIFS(monthly!$133:$133,monthly!$9:$9,EOMONTH(T$9,-1)+1)</f>
        <v>0</v>
      </c>
      <c r="U52" s="88">
        <f>SUMIFS(monthly!$133:$133,monthly!$9:$9,EOMONTH(U$9,-1)+1)</f>
        <v>0</v>
      </c>
      <c r="V52" s="88">
        <f>SUMIFS(monthly!$133:$133,monthly!$9:$9,EOMONTH(V$9,-1)+1)</f>
        <v>0</v>
      </c>
      <c r="W52" s="88">
        <f>SUMIFS(monthly!$133:$133,monthly!$9:$9,EOMONTH(W$9,-1)+1)</f>
        <v>0</v>
      </c>
      <c r="X52" s="88">
        <f>SUMIFS(monthly!$133:$133,monthly!$9:$9,EOMONTH(X$9,-1)+1)</f>
        <v>0</v>
      </c>
      <c r="Y52" s="88">
        <f>SUMIFS(monthly!$133:$133,monthly!$9:$9,EOMONTH(Y$9,-1)+1)</f>
        <v>0</v>
      </c>
      <c r="Z52" s="65"/>
      <c r="AA52" s="65"/>
    </row>
    <row r="53" spans="1:27" s="93" customFormat="1" ht="6.6" x14ac:dyDescent="0.15">
      <c r="A53" s="90"/>
      <c r="B53" s="90"/>
      <c r="C53" s="90"/>
      <c r="D53" s="90"/>
      <c r="E53" s="91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0"/>
      <c r="AA53" s="90"/>
    </row>
    <row r="54" spans="1:27" s="66" customFormat="1" ht="13.8" x14ac:dyDescent="0.3">
      <c r="A54" s="65"/>
      <c r="B54" s="65"/>
      <c r="C54" s="65"/>
      <c r="D54" s="65"/>
      <c r="E54" s="72"/>
      <c r="F54" s="85" t="str">
        <f>KPI!$F$229</f>
        <v>КЗ перед поставщиками сырья и материалов</v>
      </c>
      <c r="G54" s="65"/>
      <c r="H54" s="65"/>
      <c r="I54" s="65"/>
      <c r="J54" s="85" t="str">
        <f>IF($F54="","",INDEX(KPI!$I$11:$I$275,SUMIFS(KPI!$E$11:$E$275,KPI!$F$11:$F$275,$F54)))</f>
        <v>тыс.руб.</v>
      </c>
      <c r="K54" s="65"/>
      <c r="L54" s="65"/>
      <c r="M54" s="65"/>
      <c r="N54" s="65"/>
      <c r="O54" s="65"/>
      <c r="P54" s="88">
        <f>SUMIFS(monthly!$145:$145,monthly!$9:$9,EOMONTH(P$9,-1)+1)</f>
        <v>0</v>
      </c>
      <c r="Q54" s="88">
        <f>SUMIFS(monthly!$145:$145,monthly!$9:$9,EOMONTH(Q$9,-1)+1)</f>
        <v>0</v>
      </c>
      <c r="R54" s="88">
        <f>SUMIFS(monthly!$145:$145,monthly!$9:$9,EOMONTH(R$9,-1)+1)</f>
        <v>0</v>
      </c>
      <c r="S54" s="88">
        <f>SUMIFS(monthly!$145:$145,monthly!$9:$9,EOMONTH(S$9,-1)+1)</f>
        <v>0</v>
      </c>
      <c r="T54" s="88">
        <f>SUMIFS(monthly!$145:$145,monthly!$9:$9,EOMONTH(T$9,-1)+1)</f>
        <v>0</v>
      </c>
      <c r="U54" s="88">
        <f>SUMIFS(monthly!$145:$145,monthly!$9:$9,EOMONTH(U$9,-1)+1)</f>
        <v>0</v>
      </c>
      <c r="V54" s="88">
        <f>SUMIFS(monthly!$145:$145,monthly!$9:$9,EOMONTH(V$9,-1)+1)</f>
        <v>0</v>
      </c>
      <c r="W54" s="88">
        <f>SUMIFS(monthly!$145:$145,monthly!$9:$9,EOMONTH(W$9,-1)+1)</f>
        <v>0</v>
      </c>
      <c r="X54" s="88">
        <f>SUMIFS(monthly!$145:$145,monthly!$9:$9,EOMONTH(X$9,-1)+1)</f>
        <v>197871.90059244324</v>
      </c>
      <c r="Y54" s="88">
        <f>SUMIFS(monthly!$145:$145,monthly!$9:$9,EOMONTH(Y$9,-1)+1)</f>
        <v>0</v>
      </c>
      <c r="Z54" s="65"/>
      <c r="AA54" s="65"/>
    </row>
    <row r="55" spans="1:27" s="93" customFormat="1" ht="6.6" x14ac:dyDescent="0.15">
      <c r="A55" s="90"/>
      <c r="B55" s="90"/>
      <c r="C55" s="90"/>
      <c r="D55" s="90"/>
      <c r="E55" s="91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s="66" customFormat="1" ht="13.8" x14ac:dyDescent="0.3">
      <c r="A56" s="65"/>
      <c r="B56" s="65"/>
      <c r="C56" s="65"/>
      <c r="D56" s="65"/>
      <c r="E56" s="72"/>
      <c r="F56" s="85" t="str">
        <f>KPI!$F$230</f>
        <v>КЗ по производственным расходам</v>
      </c>
      <c r="G56" s="65"/>
      <c r="H56" s="65"/>
      <c r="I56" s="65"/>
      <c r="J56" s="85" t="str">
        <f>IF($F56="","",INDEX(KPI!$I$11:$I$275,SUMIFS(KPI!$E$11:$E$275,KPI!$F$11:$F$275,$F56)))</f>
        <v>тыс.руб.</v>
      </c>
      <c r="K56" s="65"/>
      <c r="L56" s="65"/>
      <c r="M56" s="65"/>
      <c r="N56" s="65"/>
      <c r="O56" s="65"/>
      <c r="P56" s="88">
        <f>SUMIFS(monthly!$151:$151,monthly!$9:$9,EOMONTH(P$9,-1)+1)</f>
        <v>439.20722717793979</v>
      </c>
      <c r="Q56" s="88">
        <f>SUMIFS(monthly!$151:$151,monthly!$9:$9,EOMONTH(Q$9,-1)+1)</f>
        <v>0</v>
      </c>
      <c r="R56" s="88">
        <f>SUMIFS(monthly!$151:$151,monthly!$9:$9,EOMONTH(R$9,-1)+1)</f>
        <v>10.455025282639781</v>
      </c>
      <c r="S56" s="88">
        <f>SUMIFS(monthly!$151:$151,monthly!$9:$9,EOMONTH(S$9,-1)+1)</f>
        <v>0</v>
      </c>
      <c r="T56" s="88">
        <f>SUMIFS(monthly!$151:$151,monthly!$9:$9,EOMONTH(T$9,-1)+1)</f>
        <v>8700.9607345945369</v>
      </c>
      <c r="U56" s="88">
        <f>SUMIFS(monthly!$151:$151,monthly!$9:$9,EOMONTH(U$9,-1)+1)</f>
        <v>957.97949397456796</v>
      </c>
      <c r="V56" s="88">
        <f>SUMIFS(monthly!$151:$151,monthly!$9:$9,EOMONTH(V$9,-1)+1)</f>
        <v>6283.6329452115533</v>
      </c>
      <c r="W56" s="88">
        <f>SUMIFS(monthly!$151:$151,monthly!$9:$9,EOMONTH(W$9,-1)+1)</f>
        <v>3674.998140612257</v>
      </c>
      <c r="X56" s="88">
        <f>SUMIFS(monthly!$151:$151,monthly!$9:$9,EOMONTH(X$9,-1)+1)</f>
        <v>18821.311869109493</v>
      </c>
      <c r="Y56" s="88">
        <f>SUMIFS(monthly!$151:$151,monthly!$9:$9,EOMONTH(Y$9,-1)+1)</f>
        <v>478.02597236113616</v>
      </c>
      <c r="Z56" s="65"/>
      <c r="AA56" s="65"/>
    </row>
    <row r="57" spans="1:27" s="93" customFormat="1" ht="6.6" x14ac:dyDescent="0.15">
      <c r="A57" s="90"/>
      <c r="B57" s="90"/>
      <c r="C57" s="90"/>
      <c r="D57" s="90"/>
      <c r="E57" s="91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0"/>
      <c r="AA57" s="90"/>
    </row>
    <row r="58" spans="1:27" s="66" customFormat="1" ht="13.8" x14ac:dyDescent="0.3">
      <c r="A58" s="65"/>
      <c r="B58" s="65"/>
      <c r="C58" s="65"/>
      <c r="D58" s="65"/>
      <c r="E58" s="72"/>
      <c r="F58" s="85" t="str">
        <f>KPI!$F$231</f>
        <v>КЗ по расходам логистики</v>
      </c>
      <c r="G58" s="65"/>
      <c r="H58" s="65"/>
      <c r="I58" s="65"/>
      <c r="J58" s="85" t="str">
        <f>IF($F58="","",INDEX(KPI!$I$11:$I$275,SUMIFS(KPI!$E$11:$E$275,KPI!$F$11:$F$275,$F58)))</f>
        <v>тыс.руб.</v>
      </c>
      <c r="K58" s="65"/>
      <c r="L58" s="65"/>
      <c r="M58" s="65"/>
      <c r="N58" s="65"/>
      <c r="O58" s="65"/>
      <c r="P58" s="88">
        <f>SUMIFS(monthly!$157:$157,monthly!$9:$9,EOMONTH(P$9,-1)+1)</f>
        <v>0</v>
      </c>
      <c r="Q58" s="88">
        <f>SUMIFS(monthly!$157:$157,monthly!$9:$9,EOMONTH(Q$9,-1)+1)</f>
        <v>17.480670967741922</v>
      </c>
      <c r="R58" s="88">
        <f>SUMIFS(monthly!$157:$157,monthly!$9:$9,EOMONTH(R$9,-1)+1)</f>
        <v>0</v>
      </c>
      <c r="S58" s="88">
        <f>SUMIFS(monthly!$157:$157,monthly!$9:$9,EOMONTH(S$9,-1)+1)</f>
        <v>97.195837508342777</v>
      </c>
      <c r="T58" s="88">
        <f>SUMIFS(monthly!$157:$157,monthly!$9:$9,EOMONTH(T$9,-1)+1)</f>
        <v>231.6260818438268</v>
      </c>
      <c r="U58" s="88">
        <f>SUMIFS(monthly!$157:$157,monthly!$9:$9,EOMONTH(U$9,-1)+1)</f>
        <v>389.18091340202068</v>
      </c>
      <c r="V58" s="88">
        <f>SUMIFS(monthly!$157:$157,monthly!$9:$9,EOMONTH(V$9,-1)+1)</f>
        <v>487.6093860146525</v>
      </c>
      <c r="W58" s="88">
        <f>SUMIFS(monthly!$157:$157,monthly!$9:$9,EOMONTH(W$9,-1)+1)</f>
        <v>712.10429706528271</v>
      </c>
      <c r="X58" s="88">
        <f>SUMIFS(monthly!$157:$157,monthly!$9:$9,EOMONTH(X$9,-1)+1)</f>
        <v>908.42640402228903</v>
      </c>
      <c r="Y58" s="88">
        <f>SUMIFS(monthly!$157:$157,monthly!$9:$9,EOMONTH(Y$9,-1)+1)</f>
        <v>981.1005163440725</v>
      </c>
      <c r="Z58" s="65"/>
      <c r="AA58" s="65"/>
    </row>
    <row r="59" spans="1:27" s="93" customFormat="1" ht="6.6" x14ac:dyDescent="0.15">
      <c r="A59" s="90"/>
      <c r="B59" s="90"/>
      <c r="C59" s="90"/>
      <c r="D59" s="90"/>
      <c r="E59" s="91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  <c r="AA59" s="90"/>
    </row>
    <row r="60" spans="1:27" s="66" customFormat="1" ht="13.8" x14ac:dyDescent="0.3">
      <c r="A60" s="65"/>
      <c r="B60" s="65"/>
      <c r="C60" s="65"/>
      <c r="D60" s="65"/>
      <c r="E60" s="72"/>
      <c r="F60" s="85" t="str">
        <f>KPI!$F$232</f>
        <v>КЗ по маркетинговым расходам</v>
      </c>
      <c r="G60" s="65"/>
      <c r="H60" s="65"/>
      <c r="I60" s="65"/>
      <c r="J60" s="85" t="str">
        <f>IF($F60="","",INDEX(KPI!$I$11:$I$275,SUMIFS(KPI!$E$11:$E$275,KPI!$F$11:$F$275,$F60)))</f>
        <v>тыс.руб.</v>
      </c>
      <c r="K60" s="65"/>
      <c r="L60" s="65"/>
      <c r="M60" s="65"/>
      <c r="N60" s="65"/>
      <c r="O60" s="65"/>
      <c r="P60" s="88">
        <f>SUMIFS(monthly!$161:$161,monthly!$9:$9,EOMONTH(P$9,-1)+1)</f>
        <v>0</v>
      </c>
      <c r="Q60" s="88">
        <f>SUMIFS(monthly!$161:$161,monthly!$9:$9,EOMONTH(Q$9,-1)+1)</f>
        <v>45.106787798709092</v>
      </c>
      <c r="R60" s="88">
        <f>SUMIFS(monthly!$161:$161,monthly!$9:$9,EOMONTH(R$9,-1)+1)</f>
        <v>65.231260242580902</v>
      </c>
      <c r="S60" s="88">
        <f>SUMIFS(monthly!$161:$161,monthly!$9:$9,EOMONTH(S$9,-1)+1)</f>
        <v>136.78179882116274</v>
      </c>
      <c r="T60" s="88">
        <f>SUMIFS(monthly!$161:$161,monthly!$9:$9,EOMONTH(T$9,-1)+1)</f>
        <v>206.34511365021172</v>
      </c>
      <c r="U60" s="88">
        <f>SUMIFS(monthly!$161:$161,monthly!$9:$9,EOMONTH(U$9,-1)+1)</f>
        <v>108.66339188240454</v>
      </c>
      <c r="V60" s="88">
        <f>SUMIFS(monthly!$161:$161,monthly!$9:$9,EOMONTH(V$9,-1)+1)</f>
        <v>19.661414980273548</v>
      </c>
      <c r="W60" s="88">
        <f>SUMIFS(monthly!$161:$161,monthly!$9:$9,EOMONTH(W$9,-1)+1)</f>
        <v>0</v>
      </c>
      <c r="X60" s="88">
        <f>SUMIFS(monthly!$161:$161,monthly!$9:$9,EOMONTH(X$9,-1)+1)</f>
        <v>0</v>
      </c>
      <c r="Y60" s="88">
        <f>SUMIFS(monthly!$161:$161,monthly!$9:$9,EOMONTH(Y$9,-1)+1)</f>
        <v>0</v>
      </c>
      <c r="Z60" s="65"/>
      <c r="AA60" s="65"/>
    </row>
    <row r="61" spans="1:27" s="93" customFormat="1" ht="6.6" x14ac:dyDescent="0.15">
      <c r="A61" s="90"/>
      <c r="B61" s="90"/>
      <c r="C61" s="90"/>
      <c r="D61" s="90"/>
      <c r="E61" s="91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0"/>
      <c r="AA61" s="90"/>
    </row>
    <row r="62" spans="1:27" s="66" customFormat="1" ht="13.8" x14ac:dyDescent="0.3">
      <c r="A62" s="65"/>
      <c r="B62" s="65"/>
      <c r="C62" s="65"/>
      <c r="D62" s="65"/>
      <c r="E62" s="72"/>
      <c r="F62" s="85" t="str">
        <f>KPI!$F$233</f>
        <v>КЗ перед персоналом по ФОТ</v>
      </c>
      <c r="G62" s="65"/>
      <c r="H62" s="65"/>
      <c r="I62" s="65"/>
      <c r="J62" s="85" t="str">
        <f>IF($F62="","",INDEX(KPI!$I$11:$I$275,SUMIFS(KPI!$E$11:$E$275,KPI!$F$11:$F$275,$F62)))</f>
        <v>тыс.руб.</v>
      </c>
      <c r="K62" s="65"/>
      <c r="L62" s="65"/>
      <c r="M62" s="65"/>
      <c r="N62" s="65"/>
      <c r="O62" s="65"/>
      <c r="P62" s="88">
        <f>SUMIFS(monthly!$165:$165,monthly!$9:$9,EOMONTH(P$9,-1)+1)</f>
        <v>0</v>
      </c>
      <c r="Q62" s="88">
        <f>SUMIFS(monthly!$165:$165,monthly!$9:$9,EOMONTH(Q$9,-1)+1)</f>
        <v>0</v>
      </c>
      <c r="R62" s="88">
        <f>SUMIFS(monthly!$165:$165,monthly!$9:$9,EOMONTH(R$9,-1)+1)</f>
        <v>0</v>
      </c>
      <c r="S62" s="88">
        <f>SUMIFS(monthly!$165:$165,monthly!$9:$9,EOMONTH(S$9,-1)+1)</f>
        <v>91.837737286333777</v>
      </c>
      <c r="T62" s="88">
        <f>SUMIFS(monthly!$165:$165,monthly!$9:$9,EOMONTH(T$9,-1)+1)</f>
        <v>2144.7434808848725</v>
      </c>
      <c r="U62" s="88">
        <f>SUMIFS(monthly!$165:$165,monthly!$9:$9,EOMONTH(U$9,-1)+1)</f>
        <v>1583.4929886147856</v>
      </c>
      <c r="V62" s="88">
        <f>SUMIFS(monthly!$165:$165,monthly!$9:$9,EOMONTH(V$9,-1)+1)</f>
        <v>2689.1021757594599</v>
      </c>
      <c r="W62" s="88">
        <f>SUMIFS(monthly!$165:$165,monthly!$9:$9,EOMONTH(W$9,-1)+1)</f>
        <v>1657.7849629773386</v>
      </c>
      <c r="X62" s="88">
        <f>SUMIFS(monthly!$165:$165,monthly!$9:$9,EOMONTH(X$9,-1)+1)</f>
        <v>3925.9006327610605</v>
      </c>
      <c r="Y62" s="88">
        <f>SUMIFS(monthly!$165:$165,monthly!$9:$9,EOMONTH(Y$9,-1)+1)</f>
        <v>1648.8453374029468</v>
      </c>
      <c r="Z62" s="65"/>
      <c r="AA62" s="65"/>
    </row>
    <row r="63" spans="1:27" s="93" customFormat="1" ht="6.6" x14ac:dyDescent="0.15">
      <c r="A63" s="90"/>
      <c r="B63" s="90"/>
      <c r="C63" s="90"/>
      <c r="D63" s="90"/>
      <c r="E63" s="91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  <c r="AA63" s="90"/>
    </row>
    <row r="64" spans="1:27" s="66" customFormat="1" ht="13.8" x14ac:dyDescent="0.3">
      <c r="A64" s="65"/>
      <c r="B64" s="65"/>
      <c r="C64" s="65"/>
      <c r="D64" s="65"/>
      <c r="E64" s="72"/>
      <c r="F64" s="85" t="str">
        <f>KPI!$F$234</f>
        <v>КЗ перед внебюджетными фондами</v>
      </c>
      <c r="G64" s="65"/>
      <c r="H64" s="65"/>
      <c r="I64" s="65"/>
      <c r="J64" s="85" t="str">
        <f>IF($F64="","",INDEX(KPI!$I$11:$I$275,SUMIFS(KPI!$E$11:$E$275,KPI!$F$11:$F$275,$F64)))</f>
        <v>тыс.руб.</v>
      </c>
      <c r="K64" s="65"/>
      <c r="L64" s="65"/>
      <c r="M64" s="65"/>
      <c r="N64" s="65"/>
      <c r="O64" s="65"/>
      <c r="P64" s="88">
        <f>SUMIFS(monthly!$169:$169,monthly!$9:$9,EOMONTH(P$9,-1)+1)</f>
        <v>0</v>
      </c>
      <c r="Q64" s="88">
        <f>SUMIFS(monthly!$169:$169,monthly!$9:$9,EOMONTH(Q$9,-1)+1)</f>
        <v>0</v>
      </c>
      <c r="R64" s="88">
        <f>SUMIFS(monthly!$169:$169,monthly!$9:$9,EOMONTH(R$9,-1)+1)</f>
        <v>0</v>
      </c>
      <c r="S64" s="88">
        <f>SUMIFS(monthly!$169:$169,monthly!$9:$9,EOMONTH(S$9,-1)+1)</f>
        <v>82.653963557700308</v>
      </c>
      <c r="T64" s="88">
        <f>SUMIFS(monthly!$169:$169,monthly!$9:$9,EOMONTH(T$9,-1)+1)</f>
        <v>1930.2691327963851</v>
      </c>
      <c r="U64" s="88">
        <f>SUMIFS(monthly!$169:$169,monthly!$9:$9,EOMONTH(U$9,-1)+1)</f>
        <v>1425.1436897533072</v>
      </c>
      <c r="V64" s="88">
        <f>SUMIFS(monthly!$169:$169,monthly!$9:$9,EOMONTH(V$9,-1)+1)</f>
        <v>2420.1919581835141</v>
      </c>
      <c r="W64" s="88">
        <f>SUMIFS(monthly!$169:$169,monthly!$9:$9,EOMONTH(W$9,-1)+1)</f>
        <v>1492.0064666796052</v>
      </c>
      <c r="X64" s="88">
        <f>SUMIFS(monthly!$169:$169,monthly!$9:$9,EOMONTH(X$9,-1)+1)</f>
        <v>3533.3105694849546</v>
      </c>
      <c r="Y64" s="88">
        <f>SUMIFS(monthly!$169:$169,monthly!$9:$9,EOMONTH(Y$9,-1)+1)</f>
        <v>1483.9608036626528</v>
      </c>
      <c r="Z64" s="65"/>
      <c r="AA64" s="65"/>
    </row>
    <row r="65" spans="1:27" s="93" customFormat="1" ht="6.6" x14ac:dyDescent="0.15">
      <c r="A65" s="90"/>
      <c r="B65" s="90"/>
      <c r="C65" s="90"/>
      <c r="D65" s="90"/>
      <c r="E65" s="91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0"/>
      <c r="AA65" s="90"/>
    </row>
    <row r="66" spans="1:27" s="66" customFormat="1" ht="13.8" x14ac:dyDescent="0.3">
      <c r="A66" s="65"/>
      <c r="B66" s="65"/>
      <c r="C66" s="65"/>
      <c r="D66" s="65"/>
      <c r="E66" s="72"/>
      <c r="F66" s="85" t="str">
        <f>KPI!$F$235</f>
        <v>КЗ по АНХ расходам</v>
      </c>
      <c r="G66" s="65"/>
      <c r="H66" s="65"/>
      <c r="I66" s="65"/>
      <c r="J66" s="85" t="str">
        <f>IF($F66="","",INDEX(KPI!$I$11:$I$275,SUMIFS(KPI!$E$11:$E$275,KPI!$F$11:$F$275,$F66)))</f>
        <v>тыс.руб.</v>
      </c>
      <c r="K66" s="65"/>
      <c r="L66" s="65"/>
      <c r="M66" s="65"/>
      <c r="N66" s="65"/>
      <c r="O66" s="65"/>
      <c r="P66" s="88">
        <f>SUMIFS(monthly!$173:$173,monthly!$9:$9,EOMONTH(P$9,-1)+1)</f>
        <v>0</v>
      </c>
      <c r="Q66" s="88">
        <f>SUMIFS(monthly!$173:$173,monthly!$9:$9,EOMONTH(Q$9,-1)+1)</f>
        <v>0.45000000000000018</v>
      </c>
      <c r="R66" s="88">
        <f>SUMIFS(monthly!$173:$173,monthly!$9:$9,EOMONTH(R$9,-1)+1)</f>
        <v>0.94703225806451563</v>
      </c>
      <c r="S66" s="88">
        <f>SUMIFS(monthly!$173:$173,monthly!$9:$9,EOMONTH(S$9,-1)+1)</f>
        <v>1.3141505672969966</v>
      </c>
      <c r="T66" s="88">
        <f>SUMIFS(monthly!$173:$173,monthly!$9:$9,EOMONTH(T$9,-1)+1)</f>
        <v>5.0012899376195801</v>
      </c>
      <c r="U66" s="88">
        <f>SUMIFS(monthly!$173:$173,monthly!$9:$9,EOMONTH(U$9,-1)+1)</f>
        <v>6.0096691070389348</v>
      </c>
      <c r="V66" s="88">
        <f>SUMIFS(monthly!$173:$173,monthly!$9:$9,EOMONTH(V$9,-1)+1)</f>
        <v>7.0684672349292565</v>
      </c>
      <c r="W66" s="88">
        <f>SUMIFS(monthly!$173:$173,monthly!$9:$9,EOMONTH(W$9,-1)+1)</f>
        <v>7.6544417719195899</v>
      </c>
      <c r="X66" s="88">
        <f>SUMIFS(monthly!$173:$173,monthly!$9:$9,EOMONTH(X$9,-1)+1)</f>
        <v>9.1952207894841216</v>
      </c>
      <c r="Y66" s="88">
        <f>SUMIFS(monthly!$173:$173,monthly!$9:$9,EOMONTH(Y$9,-1)+1)</f>
        <v>10.751407597224301</v>
      </c>
      <c r="Z66" s="65"/>
      <c r="AA66" s="65"/>
    </row>
    <row r="67" spans="1:27" s="93" customFormat="1" ht="6.6" x14ac:dyDescent="0.15">
      <c r="A67" s="90"/>
      <c r="B67" s="90"/>
      <c r="C67" s="90"/>
      <c r="D67" s="90"/>
      <c r="E67" s="91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0"/>
      <c r="AA67" s="90"/>
    </row>
    <row r="68" spans="1:27" s="66" customFormat="1" ht="13.8" x14ac:dyDescent="0.3">
      <c r="A68" s="65"/>
      <c r="B68" s="65"/>
      <c r="C68" s="65"/>
      <c r="D68" s="65"/>
      <c r="E68" s="72"/>
      <c r="F68" s="85" t="str">
        <f>KPI!$F$241</f>
        <v>КЗ по налогу на имущество</v>
      </c>
      <c r="G68" s="65"/>
      <c r="H68" s="65"/>
      <c r="I68" s="65"/>
      <c r="J68" s="85" t="str">
        <f>IF($F68="","",INDEX(KPI!$I$11:$I$275,SUMIFS(KPI!$E$11:$E$275,KPI!$F$11:$F$275,$F68)))</f>
        <v>тыс.руб.</v>
      </c>
      <c r="K68" s="65"/>
      <c r="L68" s="65"/>
      <c r="M68" s="65"/>
      <c r="N68" s="65"/>
      <c r="O68" s="65"/>
      <c r="P68" s="88">
        <f>PL_f!P37</f>
        <v>296.77083333333331</v>
      </c>
      <c r="Q68" s="88">
        <f>PL_f!Q37</f>
        <v>561.45833333333337</v>
      </c>
      <c r="R68" s="88">
        <f>PL_f!R37</f>
        <v>497.29166666666669</v>
      </c>
      <c r="S68" s="88">
        <f>PL_f!S37</f>
        <v>433.12500000000006</v>
      </c>
      <c r="T68" s="88">
        <f>PL_f!T37</f>
        <v>650.86897168027804</v>
      </c>
      <c r="U68" s="88">
        <f>PL_f!U37</f>
        <v>839.44977387638903</v>
      </c>
      <c r="V68" s="88">
        <f>PL_f!V37</f>
        <v>716.95676824138877</v>
      </c>
      <c r="W68" s="88">
        <f>PL_f!W37</f>
        <v>929.92347252318291</v>
      </c>
      <c r="X68" s="88">
        <f>PL_f!X37</f>
        <v>1108.4840527109463</v>
      </c>
      <c r="Y68" s="88">
        <f>PL_f!Y37</f>
        <v>917.17879888788627</v>
      </c>
      <c r="Z68" s="65"/>
      <c r="AA68" s="65"/>
    </row>
    <row r="69" spans="1:27" s="93" customFormat="1" ht="6.6" x14ac:dyDescent="0.15">
      <c r="A69" s="90"/>
      <c r="B69" s="90"/>
      <c r="C69" s="90"/>
      <c r="D69" s="90"/>
      <c r="E69" s="91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0"/>
      <c r="AA69" s="90"/>
    </row>
    <row r="70" spans="1:27" s="66" customFormat="1" ht="13.8" x14ac:dyDescent="0.3">
      <c r="A70" s="65"/>
      <c r="B70" s="65"/>
      <c r="C70" s="65"/>
      <c r="D70" s="65"/>
      <c r="E70" s="72"/>
      <c r="F70" s="85" t="str">
        <f>KPI!$F$243</f>
        <v>КЗ по налогу на прибыль</v>
      </c>
      <c r="G70" s="65"/>
      <c r="H70" s="65"/>
      <c r="I70" s="65"/>
      <c r="J70" s="85" t="str">
        <f>IF($F70="","",INDEX(KPI!$I$11:$I$275,SUMIFS(KPI!$E$11:$E$275,KPI!$F$11:$F$275,$F70)))</f>
        <v>тыс.руб.</v>
      </c>
      <c r="K70" s="65"/>
      <c r="L70" s="65"/>
      <c r="M70" s="65"/>
      <c r="N70" s="65"/>
      <c r="O70" s="65"/>
      <c r="P70" s="88">
        <f>PL_f!P50</f>
        <v>0</v>
      </c>
      <c r="Q70" s="88">
        <f>PL_f!Q50</f>
        <v>0</v>
      </c>
      <c r="R70" s="88">
        <f>PL_f!R50</f>
        <v>0</v>
      </c>
      <c r="S70" s="88">
        <f>PL_f!S50</f>
        <v>0</v>
      </c>
      <c r="T70" s="88">
        <f>PL_f!T50</f>
        <v>5904.1644380167245</v>
      </c>
      <c r="U70" s="88">
        <f>PL_f!U50</f>
        <v>16258.990043819249</v>
      </c>
      <c r="V70" s="88">
        <f>PL_f!V50</f>
        <v>31594.343572676382</v>
      </c>
      <c r="W70" s="88">
        <f>PL_f!W50</f>
        <v>42375.660400574954</v>
      </c>
      <c r="X70" s="88">
        <f>PL_f!X50</f>
        <v>44419.333936828349</v>
      </c>
      <c r="Y70" s="88">
        <f>PL_f!Y50</f>
        <v>46733.356040041144</v>
      </c>
      <c r="Z70" s="65"/>
      <c r="AA70" s="65"/>
    </row>
    <row r="71" spans="1:27" s="93" customFormat="1" ht="6.6" x14ac:dyDescent="0.15">
      <c r="A71" s="90"/>
      <c r="B71" s="90"/>
      <c r="C71" s="90"/>
      <c r="D71" s="90"/>
      <c r="E71" s="91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0"/>
      <c r="AA71" s="90"/>
    </row>
    <row r="72" spans="1:27" s="66" customFormat="1" ht="13.8" x14ac:dyDescent="0.3">
      <c r="A72" s="65"/>
      <c r="B72" s="65"/>
      <c r="C72" s="65"/>
      <c r="D72" s="65"/>
      <c r="E72" s="72"/>
      <c r="F72" s="85" t="str">
        <f>KPI!$F$249</f>
        <v>КЗ по НДС</v>
      </c>
      <c r="G72" s="65"/>
      <c r="H72" s="65"/>
      <c r="I72" s="65"/>
      <c r="J72" s="85" t="str">
        <f>IF($F72="","",INDEX(KPI!$I$11:$I$275,SUMIFS(KPI!$E$11:$E$275,KPI!$F$11:$F$275,$F72)))</f>
        <v>тыс.руб.</v>
      </c>
      <c r="K72" s="65"/>
      <c r="L72" s="65"/>
      <c r="M72" s="65"/>
      <c r="N72" s="65"/>
      <c r="O72" s="65"/>
      <c r="P72" s="88">
        <f>IF(SUMIFS(monthly!$219:$219,monthly!$9:$9,EOMONTH(P$9,-1)+1)&gt;0,SUMIFS(monthly!$219:$219,monthly!$9:$9,EOMONTH(P$9,-1)+1),0)</f>
        <v>236.91389677419352</v>
      </c>
      <c r="Q72" s="88">
        <f>IF(SUMIFS(monthly!$219:$219,monthly!$9:$9,EOMONTH(Q$9,-1)+1)&gt;0,SUMIFS(monthly!$219:$219,monthly!$9:$9,EOMONTH(Q$9,-1)+1),0)</f>
        <v>1472.5543753290315</v>
      </c>
      <c r="R72" s="88">
        <f>IF(SUMIFS(monthly!$219:$219,monthly!$9:$9,EOMONTH(R$9,-1)+1)&gt;0,SUMIFS(monthly!$219:$219,monthly!$9:$9,EOMONTH(R$9,-1)+1),0)</f>
        <v>4606.05857999828</v>
      </c>
      <c r="S72" s="88">
        <f>IF(SUMIFS(monthly!$219:$219,monthly!$9:$9,EOMONTH(S$9,-1)+1)&gt;0,SUMIFS(monthly!$219:$219,monthly!$9:$9,EOMONTH(S$9,-1)+1),0)</f>
        <v>9788.7615879853256</v>
      </c>
      <c r="T72" s="88">
        <f>IF(SUMIFS(monthly!$219:$219,monthly!$9:$9,EOMONTH(T$9,-1)+1)&gt;0,SUMIFS(monthly!$219:$219,monthly!$9:$9,EOMONTH(T$9,-1)+1),0)</f>
        <v>19638.787831634756</v>
      </c>
      <c r="U72" s="88">
        <f>IF(SUMIFS(monthly!$219:$219,monthly!$9:$9,EOMONTH(U$9,-1)+1)&gt;0,SUMIFS(monthly!$219:$219,monthly!$9:$9,EOMONTH(U$9,-1)+1),0)</f>
        <v>28126.312057920102</v>
      </c>
      <c r="V72" s="88">
        <f>IF(SUMIFS(monthly!$219:$219,monthly!$9:$9,EOMONTH(V$9,-1)+1)&gt;0,SUMIFS(monthly!$219:$219,monthly!$9:$9,EOMONTH(V$9,-1)+1),0)</f>
        <v>37012.910992170611</v>
      </c>
      <c r="W72" s="88">
        <f>IF(SUMIFS(monthly!$219:$219,monthly!$9:$9,EOMONTH(W$9,-1)+1)&gt;0,SUMIFS(monthly!$219:$219,monthly!$9:$9,EOMONTH(W$9,-1)+1),0)</f>
        <v>43408.292346026094</v>
      </c>
      <c r="X72" s="88">
        <f>IF(SUMIFS(monthly!$219:$219,monthly!$9:$9,EOMONTH(X$9,-1)+1)&gt;0,SUMIFS(monthly!$219:$219,monthly!$9:$9,EOMONTH(X$9,-1)+1),0)</f>
        <v>15208.379448460762</v>
      </c>
      <c r="Y72" s="88">
        <f>IF(SUMIFS(monthly!$219:$219,monthly!$9:$9,EOMONTH(Y$9,-1)+1)&gt;0,SUMIFS(monthly!$219:$219,monthly!$9:$9,EOMONTH(Y$9,-1)+1),0)</f>
        <v>50229.163552637117</v>
      </c>
      <c r="Z72" s="65"/>
      <c r="AA72" s="65"/>
    </row>
    <row r="73" spans="1:27" s="93" customFormat="1" ht="6.6" x14ac:dyDescent="0.15">
      <c r="A73" s="90"/>
      <c r="B73" s="90"/>
      <c r="C73" s="90"/>
      <c r="D73" s="90"/>
      <c r="E73" s="91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0"/>
      <c r="AA73" s="90"/>
    </row>
    <row r="74" spans="1:27" s="101" customFormat="1" ht="6.6" x14ac:dyDescent="0.15">
      <c r="A74" s="99"/>
      <c r="B74" s="99"/>
      <c r="C74" s="99"/>
      <c r="D74" s="99"/>
      <c r="E74" s="91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99"/>
      <c r="AA74" s="99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3"/>
      <c r="L75" s="3"/>
      <c r="M75" s="3"/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3"/>
      <c r="L76" s="3"/>
      <c r="M76" s="3"/>
      <c r="N76" s="3"/>
      <c r="O76" s="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3"/>
      <c r="L77" s="3"/>
      <c r="M77" s="3"/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3"/>
      <c r="L78" s="3"/>
      <c r="M78" s="3"/>
      <c r="N78" s="3"/>
      <c r="O78" s="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3"/>
      <c r="L79" s="3"/>
      <c r="M79" s="3"/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3"/>
      <c r="L80" s="3"/>
      <c r="M80" s="3"/>
      <c r="N80" s="3"/>
      <c r="O80" s="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3"/>
      <c r="L83" s="3"/>
      <c r="M83" s="3"/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</sheetData>
  <conditionalFormatting sqref="P8:Y9">
    <cfRule type="containsBlanks" dxfId="392" priority="1">
      <formula>LEN(TRIM(P8))=0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310"/>
  <sheetViews>
    <sheetView showGridLines="0" workbookViewId="0">
      <pane ySplit="9" topLeftCell="A10" activePane="bottomLeft" state="frozen"/>
      <selection pane="bottomLeft" activeCell="A6" sqref="A6"/>
    </sheetView>
  </sheetViews>
  <sheetFormatPr defaultColWidth="9.109375" defaultRowHeight="12" x14ac:dyDescent="0.25"/>
  <cols>
    <col min="1" max="3" width="2.6640625" style="2" customWidth="1"/>
    <col min="4" max="4" width="1.6640625" style="2" customWidth="1"/>
    <col min="5" max="5" width="3.5546875" style="2" bestFit="1" customWidth="1"/>
    <col min="6" max="6" width="65.109375" style="2" bestFit="1" customWidth="1"/>
    <col min="7" max="7" width="1.6640625" style="38" customWidth="1"/>
    <col min="8" max="8" width="1.6640625" style="2" customWidth="1"/>
    <col min="9" max="9" width="13.6640625" style="2" bestFit="1" customWidth="1"/>
    <col min="10" max="11" width="1.6640625" style="2" customWidth="1"/>
    <col min="12" max="22" width="9.109375" style="2"/>
    <col min="23" max="24" width="1.6640625" style="2" customWidth="1"/>
    <col min="25" max="16384" width="9.109375" style="2"/>
  </cols>
  <sheetData>
    <row r="1" spans="1:24" x14ac:dyDescent="0.25">
      <c r="A1" s="192" t="s">
        <v>321</v>
      </c>
      <c r="B1" s="192"/>
      <c r="C1" s="192"/>
      <c r="D1" s="192"/>
      <c r="E1" s="193"/>
      <c r="F1" s="3"/>
      <c r="G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3"/>
      <c r="B2" s="3"/>
      <c r="C2" s="3"/>
      <c r="D2" s="3"/>
      <c r="E2" s="3"/>
      <c r="F2" s="3"/>
      <c r="G2" s="3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1" customFormat="1" x14ac:dyDescent="0.25">
      <c r="A3" s="10"/>
      <c r="B3" s="10"/>
      <c r="C3" s="10" t="str">
        <f>оглавление!$D$3</f>
        <v>Финмодель инвестиционного проекта</v>
      </c>
      <c r="D3" s="10"/>
      <c r="E3" s="10"/>
      <c r="F3" s="10"/>
      <c r="G3" s="3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1" customFormat="1" x14ac:dyDescent="0.25">
      <c r="A4" s="10"/>
      <c r="B4" s="10"/>
      <c r="C4" s="10" t="str">
        <f>оглавление!$D$4</f>
        <v>Укрупненная схема с инвестиционным анализом</v>
      </c>
      <c r="D4" s="10"/>
      <c r="E4" s="10"/>
      <c r="F4" s="10"/>
      <c r="G4" s="3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1" customFormat="1" x14ac:dyDescent="0.25">
      <c r="A5" s="10"/>
      <c r="B5" s="10"/>
      <c r="C5" s="10" t="str">
        <f>оглавление!$D$5</f>
        <v>Регион: РФ</v>
      </c>
      <c r="D5" s="10"/>
      <c r="E5" s="10"/>
      <c r="F5" s="10"/>
      <c r="G5" s="3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1" customFormat="1" x14ac:dyDescent="0.25">
      <c r="A6" s="10"/>
      <c r="B6" s="10"/>
      <c r="C6" s="10" t="str">
        <f>оглавление!$D$6</f>
        <v>Юр/лица: одно юр/лицо + Инвестор</v>
      </c>
      <c r="D6" s="10"/>
      <c r="E6" s="10"/>
      <c r="F6" s="10"/>
      <c r="G6" s="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3"/>
      <c r="B7" s="3"/>
      <c r="C7" s="13" t="str">
        <f>оглавление!$F$52</f>
        <v>Показатели (KPI) экономики инвестпроекта</v>
      </c>
      <c r="D7" s="15"/>
      <c r="E7" s="16"/>
      <c r="F7" s="16"/>
      <c r="G7" s="3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3"/>
      <c r="B8" s="171">
        <f>BS!$C$8</f>
        <v>4.6566128730773926E-10</v>
      </c>
      <c r="C8" s="191" t="str">
        <f>структура!$P$12</f>
        <v>контроль</v>
      </c>
      <c r="D8" s="191"/>
      <c r="E8" s="3"/>
      <c r="F8" s="3"/>
      <c r="G8" s="3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1" customFormat="1" x14ac:dyDescent="0.25">
      <c r="A9" s="10"/>
      <c r="B9" s="10"/>
      <c r="C9" s="10"/>
      <c r="D9" s="10"/>
      <c r="E9" s="10"/>
      <c r="F9" s="17" t="s">
        <v>23</v>
      </c>
      <c r="G9" s="35">
        <f>SUM(G10:G100028)</f>
        <v>0</v>
      </c>
      <c r="H9" s="10"/>
      <c r="I9" s="17" t="s">
        <v>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3"/>
      <c r="B10" s="3"/>
      <c r="C10" s="3"/>
      <c r="D10" s="3"/>
      <c r="E10" s="3"/>
      <c r="F10" s="3"/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3"/>
      <c r="B11" s="3"/>
      <c r="C11" s="3"/>
      <c r="D11" s="3"/>
      <c r="E11" s="3">
        <v>1</v>
      </c>
      <c r="F11" s="4" t="s">
        <v>14</v>
      </c>
      <c r="G11" s="34">
        <f t="shared" ref="G11:G74" si="0">IF(F11="","",IF(COUNTIF(F:F,F11)&lt;&gt;1,1,0))</f>
        <v>0</v>
      </c>
      <c r="H11" s="3"/>
      <c r="I11" s="4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3"/>
      <c r="B12" s="3"/>
      <c r="C12" s="3"/>
      <c r="D12" s="3"/>
      <c r="E12" s="3">
        <f>E11+1</f>
        <v>2</v>
      </c>
      <c r="F12" s="4" t="s">
        <v>40</v>
      </c>
      <c r="G12" s="34">
        <f t="shared" si="0"/>
        <v>0</v>
      </c>
      <c r="H12" s="3"/>
      <c r="I12" s="4" t="s">
        <v>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3"/>
      <c r="C13" s="3"/>
      <c r="D13" s="3"/>
      <c r="E13" s="3">
        <f t="shared" ref="E13:E15" si="1">E12+1</f>
        <v>3</v>
      </c>
      <c r="F13" s="4" t="s">
        <v>41</v>
      </c>
      <c r="G13" s="34">
        <f t="shared" si="0"/>
        <v>0</v>
      </c>
      <c r="H13" s="3"/>
      <c r="I13" s="4" t="s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3"/>
      <c r="C14" s="3"/>
      <c r="D14" s="3"/>
      <c r="E14" s="3">
        <f t="shared" si="1"/>
        <v>4</v>
      </c>
      <c r="F14" s="4" t="s">
        <v>42</v>
      </c>
      <c r="G14" s="34">
        <f t="shared" si="0"/>
        <v>0</v>
      </c>
      <c r="H14" s="3"/>
      <c r="I14" s="4" t="s">
        <v>11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3"/>
      <c r="B15" s="3"/>
      <c r="C15" s="3"/>
      <c r="D15" s="3"/>
      <c r="E15" s="3">
        <f t="shared" si="1"/>
        <v>5</v>
      </c>
      <c r="F15" s="4" t="s">
        <v>43</v>
      </c>
      <c r="G15" s="34">
        <f t="shared" si="0"/>
        <v>0</v>
      </c>
      <c r="H15" s="3"/>
      <c r="I15" s="4" t="s">
        <v>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>
        <f t="shared" ref="E16:E79" si="2">E15+1</f>
        <v>6</v>
      </c>
      <c r="F16" s="4" t="s">
        <v>44</v>
      </c>
      <c r="G16" s="34">
        <f t="shared" si="0"/>
        <v>0</v>
      </c>
      <c r="H16" s="3"/>
      <c r="I16" s="4" t="s">
        <v>10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>
        <f t="shared" si="2"/>
        <v>7</v>
      </c>
      <c r="F17" s="4" t="s">
        <v>45</v>
      </c>
      <c r="G17" s="34">
        <f t="shared" si="0"/>
        <v>0</v>
      </c>
      <c r="H17" s="3"/>
      <c r="I17" s="4" t="s">
        <v>46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>
        <f t="shared" si="2"/>
        <v>8</v>
      </c>
      <c r="F18" s="4" t="s">
        <v>47</v>
      </c>
      <c r="G18" s="34">
        <f t="shared" si="0"/>
        <v>0</v>
      </c>
      <c r="H18" s="3"/>
      <c r="I18" s="4" t="s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>
        <f t="shared" si="2"/>
        <v>9</v>
      </c>
      <c r="F19" s="4" t="s">
        <v>15</v>
      </c>
      <c r="G19" s="34">
        <f t="shared" si="0"/>
        <v>0</v>
      </c>
      <c r="H19" s="3"/>
      <c r="I19" s="4" t="s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>
        <f t="shared" si="2"/>
        <v>10</v>
      </c>
      <c r="F20" s="4" t="s">
        <v>48</v>
      </c>
      <c r="G20" s="34">
        <f t="shared" si="0"/>
        <v>0</v>
      </c>
      <c r="H20" s="3"/>
      <c r="I20" s="4" t="s">
        <v>11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>
        <f t="shared" si="2"/>
        <v>11</v>
      </c>
      <c r="F21" s="4" t="s">
        <v>81</v>
      </c>
      <c r="G21" s="34">
        <f t="shared" si="0"/>
        <v>0</v>
      </c>
      <c r="H21" s="3"/>
      <c r="I21" s="4" t="s">
        <v>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3"/>
      <c r="C22" s="3"/>
      <c r="D22" s="3"/>
      <c r="E22" s="3">
        <f t="shared" si="2"/>
        <v>12</v>
      </c>
      <c r="F22" s="4" t="s">
        <v>49</v>
      </c>
      <c r="G22" s="34">
        <f t="shared" si="0"/>
        <v>0</v>
      </c>
      <c r="H22" s="3"/>
      <c r="I22" s="4" t="s">
        <v>55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3"/>
      <c r="C23" s="3"/>
      <c r="D23" s="3"/>
      <c r="E23" s="3">
        <f t="shared" si="2"/>
        <v>13</v>
      </c>
      <c r="F23" s="4" t="s">
        <v>51</v>
      </c>
      <c r="G23" s="34">
        <f t="shared" si="0"/>
        <v>0</v>
      </c>
      <c r="H23" s="3"/>
      <c r="I23" s="4" t="s">
        <v>11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>
        <f t="shared" si="2"/>
        <v>14</v>
      </c>
      <c r="F24" s="4" t="s">
        <v>50</v>
      </c>
      <c r="G24" s="34">
        <f t="shared" si="0"/>
        <v>0</v>
      </c>
      <c r="H24" s="3"/>
      <c r="I24" s="4" t="s">
        <v>11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>
        <f t="shared" si="2"/>
        <v>15</v>
      </c>
      <c r="F25" s="4" t="s">
        <v>52</v>
      </c>
      <c r="G25" s="34">
        <f t="shared" si="0"/>
        <v>0</v>
      </c>
      <c r="H25" s="3"/>
      <c r="I25" s="4" t="s">
        <v>53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>
        <f t="shared" si="2"/>
        <v>16</v>
      </c>
      <c r="F26" s="4" t="s">
        <v>16</v>
      </c>
      <c r="G26" s="34">
        <f t="shared" si="0"/>
        <v>0</v>
      </c>
      <c r="H26" s="3"/>
      <c r="I26" s="4" t="s">
        <v>11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>
        <f t="shared" si="2"/>
        <v>17</v>
      </c>
      <c r="F27" s="4" t="s">
        <v>54</v>
      </c>
      <c r="G27" s="34">
        <f t="shared" si="0"/>
        <v>0</v>
      </c>
      <c r="H27" s="3"/>
      <c r="I27" s="4" t="s">
        <v>55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>
        <f t="shared" si="2"/>
        <v>18</v>
      </c>
      <c r="F28" s="4" t="s">
        <v>56</v>
      </c>
      <c r="G28" s="34">
        <f t="shared" si="0"/>
        <v>0</v>
      </c>
      <c r="H28" s="3"/>
      <c r="I28" s="4" t="s">
        <v>55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>
        <f t="shared" si="2"/>
        <v>19</v>
      </c>
      <c r="F29" s="4" t="s">
        <v>57</v>
      </c>
      <c r="G29" s="34">
        <f t="shared" si="0"/>
        <v>0</v>
      </c>
      <c r="H29" s="3"/>
      <c r="I29" s="4" t="s">
        <v>11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>
        <f t="shared" si="2"/>
        <v>20</v>
      </c>
      <c r="F30" s="4" t="s">
        <v>58</v>
      </c>
      <c r="G30" s="34">
        <f t="shared" si="0"/>
        <v>0</v>
      </c>
      <c r="H30" s="3"/>
      <c r="I30" s="4" t="s">
        <v>55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>
        <f t="shared" si="2"/>
        <v>21</v>
      </c>
      <c r="F31" s="4" t="s">
        <v>59</v>
      </c>
      <c r="G31" s="34">
        <f t="shared" si="0"/>
        <v>0</v>
      </c>
      <c r="H31" s="3"/>
      <c r="I31" s="4" t="s">
        <v>60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>
        <f t="shared" si="2"/>
        <v>22</v>
      </c>
      <c r="F32" s="4" t="s">
        <v>61</v>
      </c>
      <c r="G32" s="34">
        <f t="shared" si="0"/>
        <v>0</v>
      </c>
      <c r="H32" s="3"/>
      <c r="I32" s="4" t="s">
        <v>55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>
        <f t="shared" si="2"/>
        <v>23</v>
      </c>
      <c r="F33" s="4" t="s">
        <v>62</v>
      </c>
      <c r="G33" s="34">
        <f t="shared" si="0"/>
        <v>0</v>
      </c>
      <c r="H33" s="3"/>
      <c r="I33" s="4" t="s">
        <v>55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>
        <f t="shared" si="2"/>
        <v>24</v>
      </c>
      <c r="F34" s="4" t="s">
        <v>65</v>
      </c>
      <c r="G34" s="34">
        <f t="shared" si="0"/>
        <v>0</v>
      </c>
      <c r="H34" s="3"/>
      <c r="I34" s="4" t="s">
        <v>60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>
        <f t="shared" si="2"/>
        <v>25</v>
      </c>
      <c r="F35" s="4" t="s">
        <v>63</v>
      </c>
      <c r="G35" s="34">
        <f t="shared" si="0"/>
        <v>0</v>
      </c>
      <c r="H35" s="3"/>
      <c r="I35" s="4" t="s">
        <v>55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>
        <f t="shared" si="2"/>
        <v>26</v>
      </c>
      <c r="F36" s="4" t="s">
        <v>64</v>
      </c>
      <c r="G36" s="34">
        <f t="shared" si="0"/>
        <v>0</v>
      </c>
      <c r="H36" s="3"/>
      <c r="I36" s="4" t="s">
        <v>55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>
        <f t="shared" si="2"/>
        <v>27</v>
      </c>
      <c r="F37" s="4" t="s">
        <v>66</v>
      </c>
      <c r="G37" s="34">
        <f t="shared" si="0"/>
        <v>0</v>
      </c>
      <c r="H37" s="3"/>
      <c r="I37" s="4" t="s">
        <v>13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/>
      <c r="B38" s="3"/>
      <c r="C38" s="3"/>
      <c r="D38" s="3"/>
      <c r="E38" s="3">
        <f t="shared" si="2"/>
        <v>28</v>
      </c>
      <c r="F38" s="4" t="s">
        <v>67</v>
      </c>
      <c r="G38" s="34">
        <f t="shared" si="0"/>
        <v>0</v>
      </c>
      <c r="H38" s="3"/>
      <c r="I38" s="4" t="s">
        <v>11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>
        <f t="shared" si="2"/>
        <v>29</v>
      </c>
      <c r="F39" s="4" t="s">
        <v>86</v>
      </c>
      <c r="G39" s="34">
        <f t="shared" si="0"/>
        <v>0</v>
      </c>
      <c r="H39" s="3"/>
      <c r="I39" s="4" t="s">
        <v>11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>
        <f t="shared" si="2"/>
        <v>30</v>
      </c>
      <c r="F40" s="4" t="s">
        <v>72</v>
      </c>
      <c r="G40" s="34">
        <f t="shared" si="0"/>
        <v>0</v>
      </c>
      <c r="H40" s="3"/>
      <c r="I40" s="4" t="s">
        <v>13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5">
      <c r="A41" s="3"/>
      <c r="B41" s="3"/>
      <c r="C41" s="3"/>
      <c r="D41" s="3"/>
      <c r="E41" s="3">
        <f t="shared" si="2"/>
        <v>31</v>
      </c>
      <c r="F41" s="4" t="s">
        <v>69</v>
      </c>
      <c r="G41" s="34">
        <f t="shared" si="0"/>
        <v>0</v>
      </c>
      <c r="H41" s="3"/>
      <c r="I41" s="4" t="s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3"/>
      <c r="B42" s="3"/>
      <c r="C42" s="3"/>
      <c r="D42" s="3"/>
      <c r="E42" s="3">
        <f t="shared" si="2"/>
        <v>32</v>
      </c>
      <c r="F42" s="4" t="s">
        <v>71</v>
      </c>
      <c r="G42" s="34">
        <f t="shared" si="0"/>
        <v>0</v>
      </c>
      <c r="H42" s="3"/>
      <c r="I42" s="4" t="s">
        <v>55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s="3"/>
      <c r="B43" s="3"/>
      <c r="C43" s="3"/>
      <c r="D43" s="3"/>
      <c r="E43" s="3">
        <f t="shared" si="2"/>
        <v>33</v>
      </c>
      <c r="F43" s="4" t="s">
        <v>70</v>
      </c>
      <c r="G43" s="34">
        <f t="shared" si="0"/>
        <v>0</v>
      </c>
      <c r="H43" s="3"/>
      <c r="I43" s="4" t="s">
        <v>11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5">
      <c r="A44" s="3"/>
      <c r="B44" s="3"/>
      <c r="C44" s="3"/>
      <c r="D44" s="3"/>
      <c r="E44" s="3">
        <f t="shared" si="2"/>
        <v>34</v>
      </c>
      <c r="F44" s="4" t="s">
        <v>73</v>
      </c>
      <c r="G44" s="34">
        <f t="shared" si="0"/>
        <v>0</v>
      </c>
      <c r="H44" s="3"/>
      <c r="I44" s="4" t="s">
        <v>11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>
        <f t="shared" si="2"/>
        <v>35</v>
      </c>
      <c r="F45" s="4" t="s">
        <v>68</v>
      </c>
      <c r="G45" s="34">
        <f t="shared" si="0"/>
        <v>0</v>
      </c>
      <c r="H45" s="3"/>
      <c r="I45" s="4" t="s">
        <v>13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3"/>
      <c r="B46" s="3"/>
      <c r="C46" s="3"/>
      <c r="D46" s="3"/>
      <c r="E46" s="3">
        <f t="shared" si="2"/>
        <v>36</v>
      </c>
      <c r="F46" s="4" t="s">
        <v>76</v>
      </c>
      <c r="G46" s="34">
        <f t="shared" si="0"/>
        <v>0</v>
      </c>
      <c r="H46" s="3"/>
      <c r="I46" s="4" t="s">
        <v>11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>
        <f t="shared" si="2"/>
        <v>37</v>
      </c>
      <c r="F47" s="4" t="s">
        <v>75</v>
      </c>
      <c r="G47" s="34">
        <f t="shared" si="0"/>
        <v>0</v>
      </c>
      <c r="H47" s="3"/>
      <c r="I47" s="4" t="s">
        <v>13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>
        <f t="shared" si="2"/>
        <v>38</v>
      </c>
      <c r="F48" s="4" t="s">
        <v>74</v>
      </c>
      <c r="G48" s="34">
        <f t="shared" si="0"/>
        <v>0</v>
      </c>
      <c r="H48" s="3"/>
      <c r="I48" s="4" t="s">
        <v>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>
        <f t="shared" si="2"/>
        <v>39</v>
      </c>
      <c r="F49" s="4" t="s">
        <v>243</v>
      </c>
      <c r="G49" s="34">
        <f t="shared" si="0"/>
        <v>0</v>
      </c>
      <c r="H49" s="3"/>
      <c r="I49" s="4" t="s">
        <v>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>
        <f t="shared" si="2"/>
        <v>40</v>
      </c>
      <c r="F50" s="4" t="s">
        <v>77</v>
      </c>
      <c r="G50" s="34">
        <f t="shared" si="0"/>
        <v>0</v>
      </c>
      <c r="H50" s="3"/>
      <c r="I50" s="4" t="s">
        <v>11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3"/>
      <c r="B51" s="3"/>
      <c r="C51" s="3"/>
      <c r="D51" s="3"/>
      <c r="E51" s="3">
        <f t="shared" si="2"/>
        <v>41</v>
      </c>
      <c r="F51" s="4" t="s">
        <v>78</v>
      </c>
      <c r="G51" s="34">
        <f t="shared" si="0"/>
        <v>0</v>
      </c>
      <c r="H51" s="3"/>
      <c r="I51" s="4" t="s">
        <v>11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3"/>
      <c r="B52" s="3"/>
      <c r="C52" s="3"/>
      <c r="D52" s="3"/>
      <c r="E52" s="3">
        <f t="shared" si="2"/>
        <v>42</v>
      </c>
      <c r="F52" s="4" t="s">
        <v>79</v>
      </c>
      <c r="G52" s="34">
        <f t="shared" si="0"/>
        <v>0</v>
      </c>
      <c r="H52" s="3"/>
      <c r="I52" s="4" t="s">
        <v>80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3"/>
      <c r="B53" s="3"/>
      <c r="C53" s="3"/>
      <c r="D53" s="3"/>
      <c r="E53" s="3">
        <f t="shared" si="2"/>
        <v>43</v>
      </c>
      <c r="F53" s="4" t="s">
        <v>83</v>
      </c>
      <c r="G53" s="34">
        <f t="shared" si="0"/>
        <v>0</v>
      </c>
      <c r="H53" s="3"/>
      <c r="I53" s="4" t="s">
        <v>10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3"/>
      <c r="B54" s="3"/>
      <c r="C54" s="3"/>
      <c r="D54" s="3"/>
      <c r="E54" s="3">
        <f t="shared" si="2"/>
        <v>44</v>
      </c>
      <c r="F54" s="4" t="s">
        <v>82</v>
      </c>
      <c r="G54" s="34">
        <f t="shared" si="0"/>
        <v>0</v>
      </c>
      <c r="H54" s="3"/>
      <c r="I54" s="4" t="s">
        <v>11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s="3"/>
      <c r="B55" s="3"/>
      <c r="C55" s="3"/>
      <c r="D55" s="3"/>
      <c r="E55" s="3">
        <f t="shared" si="2"/>
        <v>45</v>
      </c>
      <c r="F55" s="4" t="s">
        <v>84</v>
      </c>
      <c r="G55" s="34">
        <f t="shared" si="0"/>
        <v>0</v>
      </c>
      <c r="H55" s="3"/>
      <c r="I55" s="4" t="s">
        <v>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3"/>
      <c r="B56" s="3"/>
      <c r="C56" s="3"/>
      <c r="D56" s="3"/>
      <c r="E56" s="3">
        <f t="shared" si="2"/>
        <v>46</v>
      </c>
      <c r="F56" s="4" t="s">
        <v>85</v>
      </c>
      <c r="G56" s="34">
        <f t="shared" si="0"/>
        <v>0</v>
      </c>
      <c r="H56" s="3"/>
      <c r="I56" s="4" t="s">
        <v>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s="3"/>
      <c r="B57" s="3"/>
      <c r="C57" s="3"/>
      <c r="D57" s="3"/>
      <c r="E57" s="3">
        <f t="shared" si="2"/>
        <v>47</v>
      </c>
      <c r="F57" s="4" t="s">
        <v>87</v>
      </c>
      <c r="G57" s="34">
        <f t="shared" si="0"/>
        <v>0</v>
      </c>
      <c r="H57" s="3"/>
      <c r="I57" s="4" t="s">
        <v>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5">
      <c r="A58" s="3"/>
      <c r="B58" s="3"/>
      <c r="C58" s="3"/>
      <c r="D58" s="3"/>
      <c r="E58" s="3">
        <f t="shared" si="2"/>
        <v>48</v>
      </c>
      <c r="F58" s="4" t="s">
        <v>88</v>
      </c>
      <c r="G58" s="34">
        <f t="shared" si="0"/>
        <v>0</v>
      </c>
      <c r="H58" s="3"/>
      <c r="I58" s="4" t="s">
        <v>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5">
      <c r="A59" s="3"/>
      <c r="B59" s="3"/>
      <c r="C59" s="3"/>
      <c r="D59" s="3"/>
      <c r="E59" s="3">
        <f t="shared" si="2"/>
        <v>49</v>
      </c>
      <c r="F59" s="4" t="s">
        <v>89</v>
      </c>
      <c r="G59" s="34">
        <f t="shared" si="0"/>
        <v>0</v>
      </c>
      <c r="H59" s="3"/>
      <c r="I59" s="4" t="s">
        <v>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5">
      <c r="A60" s="3"/>
      <c r="B60" s="3"/>
      <c r="C60" s="3"/>
      <c r="D60" s="3"/>
      <c r="E60" s="3">
        <f t="shared" si="2"/>
        <v>50</v>
      </c>
      <c r="F60" s="4" t="s">
        <v>90</v>
      </c>
      <c r="G60" s="34">
        <f t="shared" si="0"/>
        <v>0</v>
      </c>
      <c r="H60" s="3"/>
      <c r="I60" s="4" t="s">
        <v>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3"/>
      <c r="B61" s="3"/>
      <c r="C61" s="3"/>
      <c r="D61" s="3"/>
      <c r="E61" s="3">
        <f t="shared" si="2"/>
        <v>51</v>
      </c>
      <c r="F61" s="4" t="s">
        <v>91</v>
      </c>
      <c r="G61" s="34">
        <f t="shared" si="0"/>
        <v>0</v>
      </c>
      <c r="H61" s="3"/>
      <c r="I61" s="4" t="s">
        <v>55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5">
      <c r="A62" s="3"/>
      <c r="B62" s="3"/>
      <c r="C62" s="3"/>
      <c r="D62" s="3"/>
      <c r="E62" s="3">
        <f t="shared" si="2"/>
        <v>52</v>
      </c>
      <c r="F62" s="4" t="s">
        <v>92</v>
      </c>
      <c r="G62" s="34">
        <f t="shared" si="0"/>
        <v>0</v>
      </c>
      <c r="H62" s="3"/>
      <c r="I62" s="4" t="s">
        <v>55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A63" s="3"/>
      <c r="B63" s="3"/>
      <c r="C63" s="3"/>
      <c r="D63" s="3"/>
      <c r="E63" s="3">
        <f t="shared" si="2"/>
        <v>53</v>
      </c>
      <c r="F63" s="4" t="s">
        <v>93</v>
      </c>
      <c r="G63" s="34">
        <f t="shared" si="0"/>
        <v>0</v>
      </c>
      <c r="H63" s="3"/>
      <c r="I63" s="4" t="s">
        <v>11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3"/>
      <c r="B64" s="3"/>
      <c r="C64" s="3"/>
      <c r="D64" s="3"/>
      <c r="E64" s="3">
        <f t="shared" si="2"/>
        <v>54</v>
      </c>
      <c r="F64" s="4" t="s">
        <v>94</v>
      </c>
      <c r="G64" s="34">
        <f t="shared" si="0"/>
        <v>0</v>
      </c>
      <c r="H64" s="3"/>
      <c r="I64" s="4" t="s">
        <v>11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3"/>
      <c r="B65" s="3"/>
      <c r="C65" s="3"/>
      <c r="D65" s="3"/>
      <c r="E65" s="3">
        <f t="shared" si="2"/>
        <v>55</v>
      </c>
      <c r="F65" s="4" t="s">
        <v>95</v>
      </c>
      <c r="G65" s="34">
        <f t="shared" si="0"/>
        <v>0</v>
      </c>
      <c r="H65" s="3"/>
      <c r="I65" s="4" t="s">
        <v>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3"/>
      <c r="B66" s="3"/>
      <c r="C66" s="3"/>
      <c r="D66" s="3"/>
      <c r="E66" s="3">
        <f t="shared" si="2"/>
        <v>56</v>
      </c>
      <c r="F66" s="4" t="s">
        <v>96</v>
      </c>
      <c r="G66" s="34">
        <f t="shared" si="0"/>
        <v>0</v>
      </c>
      <c r="H66" s="3"/>
      <c r="I66" s="4" t="s">
        <v>6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3"/>
      <c r="B67" s="3"/>
      <c r="C67" s="3"/>
      <c r="D67" s="3"/>
      <c r="E67" s="3">
        <f t="shared" si="2"/>
        <v>57</v>
      </c>
      <c r="F67" s="4" t="s">
        <v>108</v>
      </c>
      <c r="G67" s="34">
        <f t="shared" si="0"/>
        <v>0</v>
      </c>
      <c r="H67" s="3"/>
      <c r="I67" s="4" t="s">
        <v>11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3"/>
      <c r="B68" s="3"/>
      <c r="C68" s="3"/>
      <c r="D68" s="3"/>
      <c r="E68" s="3">
        <f t="shared" si="2"/>
        <v>58</v>
      </c>
      <c r="F68" s="4" t="s">
        <v>97</v>
      </c>
      <c r="G68" s="34">
        <f t="shared" si="0"/>
        <v>0</v>
      </c>
      <c r="H68" s="3"/>
      <c r="I68" s="4" t="s">
        <v>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3"/>
      <c r="B69" s="3"/>
      <c r="C69" s="3"/>
      <c r="D69" s="3"/>
      <c r="E69" s="3">
        <f t="shared" si="2"/>
        <v>59</v>
      </c>
      <c r="F69" s="4" t="s">
        <v>109</v>
      </c>
      <c r="G69" s="34">
        <f t="shared" si="0"/>
        <v>0</v>
      </c>
      <c r="H69" s="3"/>
      <c r="I69" s="4" t="s">
        <v>11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A70" s="3"/>
      <c r="B70" s="3"/>
      <c r="C70" s="3"/>
      <c r="D70" s="3"/>
      <c r="E70" s="3">
        <f t="shared" si="2"/>
        <v>60</v>
      </c>
      <c r="F70" s="4" t="s">
        <v>98</v>
      </c>
      <c r="G70" s="34">
        <f t="shared" si="0"/>
        <v>0</v>
      </c>
      <c r="H70" s="3"/>
      <c r="I70" s="4" t="s">
        <v>6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5">
      <c r="A71" s="3"/>
      <c r="B71" s="3"/>
      <c r="C71" s="3"/>
      <c r="D71" s="3"/>
      <c r="E71" s="3">
        <f t="shared" si="2"/>
        <v>61</v>
      </c>
      <c r="F71" s="4" t="s">
        <v>111</v>
      </c>
      <c r="G71" s="34">
        <f t="shared" si="0"/>
        <v>0</v>
      </c>
      <c r="H71" s="3"/>
      <c r="I71" s="4" t="s">
        <v>11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s="3"/>
      <c r="B72" s="3"/>
      <c r="C72" s="3"/>
      <c r="D72" s="3"/>
      <c r="E72" s="3">
        <f t="shared" si="2"/>
        <v>62</v>
      </c>
      <c r="F72" s="4" t="s">
        <v>99</v>
      </c>
      <c r="G72" s="34">
        <f t="shared" si="0"/>
        <v>0</v>
      </c>
      <c r="H72" s="3"/>
      <c r="I72" s="4" t="s">
        <v>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5">
      <c r="A73" s="3"/>
      <c r="B73" s="3"/>
      <c r="C73" s="3"/>
      <c r="D73" s="3"/>
      <c r="E73" s="3">
        <f t="shared" si="2"/>
        <v>63</v>
      </c>
      <c r="F73" s="4" t="s">
        <v>110</v>
      </c>
      <c r="G73" s="34">
        <f t="shared" si="0"/>
        <v>0</v>
      </c>
      <c r="H73" s="3"/>
      <c r="I73" s="4" t="s">
        <v>11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5">
      <c r="A74" s="3"/>
      <c r="B74" s="3"/>
      <c r="C74" s="3"/>
      <c r="D74" s="3"/>
      <c r="E74" s="3">
        <f t="shared" si="2"/>
        <v>64</v>
      </c>
      <c r="F74" s="4" t="s">
        <v>100</v>
      </c>
      <c r="G74" s="34">
        <f t="shared" si="0"/>
        <v>0</v>
      </c>
      <c r="H74" s="3"/>
      <c r="I74" s="4" t="s">
        <v>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5">
      <c r="A75" s="3"/>
      <c r="B75" s="3"/>
      <c r="C75" s="3"/>
      <c r="D75" s="3"/>
      <c r="E75" s="3">
        <f t="shared" si="2"/>
        <v>65</v>
      </c>
      <c r="F75" s="4" t="s">
        <v>112</v>
      </c>
      <c r="G75" s="34">
        <f t="shared" ref="G75:G138" si="3">IF(F75="","",IF(COUNTIF(F:F,F75)&lt;&gt;1,1,0))</f>
        <v>0</v>
      </c>
      <c r="H75" s="3"/>
      <c r="I75" s="4" t="s">
        <v>11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5">
      <c r="A76" s="3"/>
      <c r="B76" s="3"/>
      <c r="C76" s="3"/>
      <c r="D76" s="3"/>
      <c r="E76" s="3">
        <f t="shared" si="2"/>
        <v>66</v>
      </c>
      <c r="F76" s="4" t="s">
        <v>101</v>
      </c>
      <c r="G76" s="34">
        <f t="shared" si="3"/>
        <v>0</v>
      </c>
      <c r="H76" s="3"/>
      <c r="I76" s="4" t="s">
        <v>6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5">
      <c r="A77" s="3"/>
      <c r="B77" s="3"/>
      <c r="C77" s="3"/>
      <c r="D77" s="3"/>
      <c r="E77" s="3">
        <f t="shared" si="2"/>
        <v>67</v>
      </c>
      <c r="F77" s="4" t="s">
        <v>113</v>
      </c>
      <c r="G77" s="34">
        <f t="shared" si="3"/>
        <v>0</v>
      </c>
      <c r="H77" s="3"/>
      <c r="I77" s="4" t="s">
        <v>11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5">
      <c r="A78" s="3"/>
      <c r="B78" s="3"/>
      <c r="C78" s="3"/>
      <c r="D78" s="3"/>
      <c r="E78" s="3">
        <f t="shared" si="2"/>
        <v>68</v>
      </c>
      <c r="F78" s="4" t="s">
        <v>102</v>
      </c>
      <c r="G78" s="34">
        <f t="shared" si="3"/>
        <v>0</v>
      </c>
      <c r="H78" s="3"/>
      <c r="I78" s="4" t="s">
        <v>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5">
      <c r="A79" s="3"/>
      <c r="B79" s="3"/>
      <c r="C79" s="3"/>
      <c r="D79" s="3"/>
      <c r="E79" s="3">
        <f t="shared" si="2"/>
        <v>69</v>
      </c>
      <c r="F79" s="4" t="s">
        <v>103</v>
      </c>
      <c r="G79" s="34">
        <f t="shared" si="3"/>
        <v>0</v>
      </c>
      <c r="H79" s="3"/>
      <c r="I79" s="4" t="s">
        <v>55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5">
      <c r="A80" s="3"/>
      <c r="B80" s="3"/>
      <c r="C80" s="3"/>
      <c r="D80" s="3"/>
      <c r="E80" s="3">
        <f t="shared" ref="E80:E143" si="4">E79+1</f>
        <v>70</v>
      </c>
      <c r="F80" s="4" t="s">
        <v>105</v>
      </c>
      <c r="G80" s="34">
        <f t="shared" si="3"/>
        <v>0</v>
      </c>
      <c r="H80" s="3"/>
      <c r="I80" s="4" t="s">
        <v>13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5">
      <c r="A81" s="3"/>
      <c r="B81" s="3"/>
      <c r="C81" s="3"/>
      <c r="D81" s="3"/>
      <c r="E81" s="3">
        <f t="shared" si="4"/>
        <v>71</v>
      </c>
      <c r="F81" s="4" t="s">
        <v>104</v>
      </c>
      <c r="G81" s="34">
        <f t="shared" si="3"/>
        <v>0</v>
      </c>
      <c r="H81" s="3"/>
      <c r="I81" s="4" t="s">
        <v>11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5">
      <c r="A82" s="3"/>
      <c r="B82" s="3"/>
      <c r="C82" s="3"/>
      <c r="D82" s="3"/>
      <c r="E82" s="3">
        <f t="shared" si="4"/>
        <v>72</v>
      </c>
      <c r="F82" s="4" t="s">
        <v>106</v>
      </c>
      <c r="G82" s="34">
        <f t="shared" si="3"/>
        <v>0</v>
      </c>
      <c r="H82" s="3"/>
      <c r="I82" s="4" t="s">
        <v>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3"/>
      <c r="B83" s="3"/>
      <c r="C83" s="3"/>
      <c r="D83" s="3"/>
      <c r="E83" s="3">
        <f t="shared" si="4"/>
        <v>73</v>
      </c>
      <c r="F83" s="4" t="s">
        <v>107</v>
      </c>
      <c r="G83" s="34">
        <f t="shared" si="3"/>
        <v>0</v>
      </c>
      <c r="H83" s="3"/>
      <c r="I83" s="4" t="s">
        <v>11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3"/>
      <c r="B84" s="3"/>
      <c r="C84" s="3"/>
      <c r="D84" s="3"/>
      <c r="E84" s="3">
        <f t="shared" si="4"/>
        <v>74</v>
      </c>
      <c r="F84" s="4" t="s">
        <v>161</v>
      </c>
      <c r="G84" s="34">
        <f t="shared" si="3"/>
        <v>0</v>
      </c>
      <c r="H84" s="3"/>
      <c r="I84" s="4" t="s">
        <v>6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5">
      <c r="A85" s="3"/>
      <c r="B85" s="3"/>
      <c r="C85" s="3"/>
      <c r="D85" s="3"/>
      <c r="E85" s="3">
        <f t="shared" si="4"/>
        <v>75</v>
      </c>
      <c r="F85" s="4" t="s">
        <v>116</v>
      </c>
      <c r="G85" s="34">
        <f t="shared" si="3"/>
        <v>0</v>
      </c>
      <c r="H85" s="3"/>
      <c r="I85" s="4" t="s">
        <v>11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3"/>
      <c r="B86" s="3"/>
      <c r="C86" s="3"/>
      <c r="D86" s="3"/>
      <c r="E86" s="3">
        <f t="shared" si="4"/>
        <v>76</v>
      </c>
      <c r="F86" s="4" t="s">
        <v>114</v>
      </c>
      <c r="G86" s="34">
        <f t="shared" si="3"/>
        <v>0</v>
      </c>
      <c r="H86" s="3"/>
      <c r="I86" s="4" t="s">
        <v>115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3"/>
      <c r="B87" s="3"/>
      <c r="C87" s="3"/>
      <c r="D87" s="3"/>
      <c r="E87" s="3">
        <f t="shared" si="4"/>
        <v>77</v>
      </c>
      <c r="F87" s="4" t="s">
        <v>121</v>
      </c>
      <c r="G87" s="34">
        <f t="shared" si="3"/>
        <v>0</v>
      </c>
      <c r="H87" s="3"/>
      <c r="I87" s="4" t="s">
        <v>6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3"/>
      <c r="B88" s="3"/>
      <c r="C88" s="3"/>
      <c r="D88" s="3"/>
      <c r="E88" s="3">
        <f t="shared" si="4"/>
        <v>78</v>
      </c>
      <c r="F88" s="4" t="s">
        <v>117</v>
      </c>
      <c r="G88" s="34">
        <f t="shared" si="3"/>
        <v>0</v>
      </c>
      <c r="H88" s="3"/>
      <c r="I88" s="4" t="s">
        <v>6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3"/>
      <c r="B89" s="3"/>
      <c r="C89" s="3"/>
      <c r="D89" s="3"/>
      <c r="E89" s="3">
        <f t="shared" si="4"/>
        <v>79</v>
      </c>
      <c r="F89" s="4" t="s">
        <v>118</v>
      </c>
      <c r="G89" s="34">
        <f t="shared" si="3"/>
        <v>0</v>
      </c>
      <c r="H89" s="3"/>
      <c r="I89" s="4" t="s">
        <v>11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5">
      <c r="A90" s="3"/>
      <c r="B90" s="3"/>
      <c r="C90" s="3"/>
      <c r="D90" s="3"/>
      <c r="E90" s="3">
        <f t="shared" si="4"/>
        <v>80</v>
      </c>
      <c r="F90" s="4" t="s">
        <v>119</v>
      </c>
      <c r="G90" s="34">
        <f t="shared" si="3"/>
        <v>0</v>
      </c>
      <c r="H90" s="3"/>
      <c r="I90" s="4" t="s">
        <v>115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3"/>
      <c r="B91" s="3"/>
      <c r="C91" s="3"/>
      <c r="D91" s="3"/>
      <c r="E91" s="3">
        <f t="shared" si="4"/>
        <v>81</v>
      </c>
      <c r="F91" s="4" t="s">
        <v>122</v>
      </c>
      <c r="G91" s="34">
        <f t="shared" si="3"/>
        <v>0</v>
      </c>
      <c r="H91" s="3"/>
      <c r="I91" s="4" t="s">
        <v>6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3"/>
      <c r="B92" s="3"/>
      <c r="C92" s="3"/>
      <c r="D92" s="3"/>
      <c r="E92" s="3">
        <f t="shared" si="4"/>
        <v>82</v>
      </c>
      <c r="F92" s="4" t="s">
        <v>120</v>
      </c>
      <c r="G92" s="34">
        <f t="shared" si="3"/>
        <v>0</v>
      </c>
      <c r="H92" s="3"/>
      <c r="I92" s="4" t="s">
        <v>6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3"/>
      <c r="B93" s="3"/>
      <c r="C93" s="3"/>
      <c r="D93" s="3"/>
      <c r="E93" s="3">
        <f t="shared" si="4"/>
        <v>83</v>
      </c>
      <c r="F93" s="4" t="s">
        <v>123</v>
      </c>
      <c r="G93" s="34">
        <f t="shared" si="3"/>
        <v>0</v>
      </c>
      <c r="H93" s="3"/>
      <c r="I93" s="4" t="s">
        <v>115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3"/>
      <c r="B94" s="3"/>
      <c r="C94" s="3"/>
      <c r="D94" s="3"/>
      <c r="E94" s="3">
        <f t="shared" si="4"/>
        <v>84</v>
      </c>
      <c r="F94" s="4" t="s">
        <v>124</v>
      </c>
      <c r="G94" s="34">
        <f t="shared" si="3"/>
        <v>0</v>
      </c>
      <c r="H94" s="3"/>
      <c r="I94" s="4" t="s">
        <v>6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3"/>
      <c r="B95" s="3"/>
      <c r="C95" s="3"/>
      <c r="D95" s="3"/>
      <c r="E95" s="3">
        <f t="shared" si="4"/>
        <v>85</v>
      </c>
      <c r="F95" s="4" t="s">
        <v>125</v>
      </c>
      <c r="G95" s="34">
        <f t="shared" si="3"/>
        <v>0</v>
      </c>
      <c r="H95" s="3"/>
      <c r="I95" s="4" t="s">
        <v>6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3"/>
      <c r="B96" s="3"/>
      <c r="C96" s="3"/>
      <c r="D96" s="3"/>
      <c r="E96" s="3">
        <f t="shared" si="4"/>
        <v>86</v>
      </c>
      <c r="F96" s="4" t="s">
        <v>128</v>
      </c>
      <c r="G96" s="34">
        <f t="shared" si="3"/>
        <v>0</v>
      </c>
      <c r="H96" s="3"/>
      <c r="I96" s="4" t="s">
        <v>55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5">
      <c r="A97" s="3"/>
      <c r="B97" s="3"/>
      <c r="C97" s="3"/>
      <c r="D97" s="3"/>
      <c r="E97" s="3">
        <f t="shared" si="4"/>
        <v>87</v>
      </c>
      <c r="F97" s="4" t="s">
        <v>126</v>
      </c>
      <c r="G97" s="34">
        <f t="shared" si="3"/>
        <v>0</v>
      </c>
      <c r="H97" s="3"/>
      <c r="I97" s="4" t="s">
        <v>6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3"/>
      <c r="B98" s="3"/>
      <c r="C98" s="3"/>
      <c r="D98" s="3"/>
      <c r="E98" s="3">
        <f t="shared" si="4"/>
        <v>88</v>
      </c>
      <c r="F98" s="4" t="s">
        <v>127</v>
      </c>
      <c r="G98" s="34">
        <f t="shared" si="3"/>
        <v>0</v>
      </c>
      <c r="H98" s="3"/>
      <c r="I98" s="4" t="s">
        <v>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5">
      <c r="A99" s="3"/>
      <c r="B99" s="3"/>
      <c r="C99" s="3"/>
      <c r="D99" s="3"/>
      <c r="E99" s="3">
        <f t="shared" si="4"/>
        <v>89</v>
      </c>
      <c r="F99" s="4" t="s">
        <v>129</v>
      </c>
      <c r="G99" s="34">
        <f t="shared" si="3"/>
        <v>0</v>
      </c>
      <c r="H99" s="3"/>
      <c r="I99" s="4" t="s">
        <v>115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5">
      <c r="A100" s="3"/>
      <c r="B100" s="3"/>
      <c r="C100" s="3"/>
      <c r="D100" s="3"/>
      <c r="E100" s="3">
        <f t="shared" si="4"/>
        <v>90</v>
      </c>
      <c r="F100" s="4" t="s">
        <v>130</v>
      </c>
      <c r="G100" s="34">
        <f t="shared" si="3"/>
        <v>0</v>
      </c>
      <c r="H100" s="3"/>
      <c r="I100" s="4" t="s">
        <v>6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5">
      <c r="A101" s="3"/>
      <c r="B101" s="3"/>
      <c r="C101" s="3"/>
      <c r="D101" s="3"/>
      <c r="E101" s="3">
        <f t="shared" si="4"/>
        <v>91</v>
      </c>
      <c r="F101" s="4" t="s">
        <v>131</v>
      </c>
      <c r="G101" s="34">
        <f t="shared" si="3"/>
        <v>0</v>
      </c>
      <c r="H101" s="3"/>
      <c r="I101" s="4" t="s">
        <v>6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5">
      <c r="A102" s="3"/>
      <c r="B102" s="3"/>
      <c r="C102" s="3"/>
      <c r="D102" s="3"/>
      <c r="E102" s="3">
        <f t="shared" si="4"/>
        <v>92</v>
      </c>
      <c r="F102" s="4" t="s">
        <v>132</v>
      </c>
      <c r="G102" s="34">
        <f t="shared" si="3"/>
        <v>0</v>
      </c>
      <c r="H102" s="3"/>
      <c r="I102" s="4" t="s">
        <v>55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3"/>
      <c r="B103" s="3"/>
      <c r="C103" s="3"/>
      <c r="D103" s="3"/>
      <c r="E103" s="3">
        <f t="shared" si="4"/>
        <v>93</v>
      </c>
      <c r="F103" s="4" t="s">
        <v>133</v>
      </c>
      <c r="G103" s="34">
        <f t="shared" si="3"/>
        <v>0</v>
      </c>
      <c r="H103" s="3"/>
      <c r="I103" s="4" t="s">
        <v>6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A104" s="3"/>
      <c r="B104" s="3"/>
      <c r="C104" s="3"/>
      <c r="D104" s="3"/>
      <c r="E104" s="3">
        <f t="shared" si="4"/>
        <v>94</v>
      </c>
      <c r="F104" s="4" t="s">
        <v>134</v>
      </c>
      <c r="G104" s="34">
        <f t="shared" si="3"/>
        <v>0</v>
      </c>
      <c r="H104" s="3"/>
      <c r="I104" s="4" t="s">
        <v>6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3"/>
      <c r="B105" s="3"/>
      <c r="C105" s="3"/>
      <c r="D105" s="3"/>
      <c r="E105" s="3">
        <f t="shared" si="4"/>
        <v>95</v>
      </c>
      <c r="F105" s="4" t="s">
        <v>135</v>
      </c>
      <c r="G105" s="34">
        <f t="shared" si="3"/>
        <v>0</v>
      </c>
      <c r="H105" s="3"/>
      <c r="I105" s="4" t="s">
        <v>115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3"/>
      <c r="B106" s="3"/>
      <c r="C106" s="3"/>
      <c r="D106" s="3"/>
      <c r="E106" s="3">
        <f t="shared" si="4"/>
        <v>96</v>
      </c>
      <c r="F106" s="4" t="s">
        <v>136</v>
      </c>
      <c r="G106" s="34">
        <f t="shared" si="3"/>
        <v>0</v>
      </c>
      <c r="H106" s="3"/>
      <c r="I106" s="4" t="s">
        <v>6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3"/>
      <c r="B107" s="3"/>
      <c r="C107" s="3"/>
      <c r="D107" s="3"/>
      <c r="E107" s="3">
        <f t="shared" si="4"/>
        <v>97</v>
      </c>
      <c r="F107" s="4" t="s">
        <v>137</v>
      </c>
      <c r="G107" s="34">
        <f t="shared" si="3"/>
        <v>0</v>
      </c>
      <c r="H107" s="3"/>
      <c r="I107" s="4" t="s">
        <v>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3"/>
      <c r="B108" s="3"/>
      <c r="C108" s="3"/>
      <c r="D108" s="3"/>
      <c r="E108" s="3">
        <f t="shared" si="4"/>
        <v>98</v>
      </c>
      <c r="F108" s="4" t="s">
        <v>138</v>
      </c>
      <c r="G108" s="34">
        <f t="shared" si="3"/>
        <v>0</v>
      </c>
      <c r="H108" s="3"/>
      <c r="I108" s="4" t="s">
        <v>115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3"/>
      <c r="B109" s="3"/>
      <c r="C109" s="3"/>
      <c r="D109" s="3"/>
      <c r="E109" s="3">
        <f t="shared" si="4"/>
        <v>99</v>
      </c>
      <c r="F109" s="4" t="s">
        <v>139</v>
      </c>
      <c r="G109" s="34">
        <f t="shared" si="3"/>
        <v>0</v>
      </c>
      <c r="H109" s="3"/>
      <c r="I109" s="4" t="s">
        <v>6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5">
      <c r="A110" s="3"/>
      <c r="B110" s="3"/>
      <c r="C110" s="3"/>
      <c r="D110" s="3"/>
      <c r="E110" s="3">
        <f t="shared" si="4"/>
        <v>100</v>
      </c>
      <c r="F110" s="4" t="s">
        <v>140</v>
      </c>
      <c r="G110" s="34">
        <f t="shared" si="3"/>
        <v>0</v>
      </c>
      <c r="H110" s="3"/>
      <c r="I110" s="4" t="s">
        <v>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5">
      <c r="A111" s="3"/>
      <c r="B111" s="3"/>
      <c r="C111" s="3"/>
      <c r="D111" s="3"/>
      <c r="E111" s="3">
        <f t="shared" si="4"/>
        <v>101</v>
      </c>
      <c r="F111" s="4" t="s">
        <v>141</v>
      </c>
      <c r="G111" s="34">
        <f t="shared" si="3"/>
        <v>0</v>
      </c>
      <c r="H111" s="3"/>
      <c r="I111" s="4" t="s">
        <v>115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5">
      <c r="A112" s="3"/>
      <c r="B112" s="3"/>
      <c r="C112" s="3"/>
      <c r="D112" s="3"/>
      <c r="E112" s="3">
        <f t="shared" si="4"/>
        <v>102</v>
      </c>
      <c r="F112" s="4" t="s">
        <v>142</v>
      </c>
      <c r="G112" s="34">
        <f t="shared" si="3"/>
        <v>0</v>
      </c>
      <c r="H112" s="3"/>
      <c r="I112" s="4" t="s">
        <v>6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3"/>
      <c r="B113" s="3"/>
      <c r="C113" s="3"/>
      <c r="D113" s="3"/>
      <c r="E113" s="3">
        <f t="shared" si="4"/>
        <v>103</v>
      </c>
      <c r="F113" s="4" t="s">
        <v>143</v>
      </c>
      <c r="G113" s="34">
        <f t="shared" si="3"/>
        <v>0</v>
      </c>
      <c r="H113" s="3"/>
      <c r="I113" s="4" t="s">
        <v>6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5">
      <c r="A114" s="3"/>
      <c r="B114" s="3"/>
      <c r="C114" s="3"/>
      <c r="D114" s="3"/>
      <c r="E114" s="3">
        <f t="shared" si="4"/>
        <v>104</v>
      </c>
      <c r="F114" s="4" t="s">
        <v>145</v>
      </c>
      <c r="G114" s="34">
        <f t="shared" si="3"/>
        <v>0</v>
      </c>
      <c r="H114" s="3"/>
      <c r="I114" s="4" t="s">
        <v>11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5">
      <c r="A115" s="3"/>
      <c r="B115" s="3"/>
      <c r="C115" s="3"/>
      <c r="D115" s="3"/>
      <c r="E115" s="3">
        <f t="shared" si="4"/>
        <v>105</v>
      </c>
      <c r="F115" s="4" t="s">
        <v>144</v>
      </c>
      <c r="G115" s="34">
        <f t="shared" si="3"/>
        <v>0</v>
      </c>
      <c r="H115" s="3"/>
      <c r="I115" s="4" t="s">
        <v>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5">
      <c r="A116" s="3"/>
      <c r="B116" s="3"/>
      <c r="C116" s="3"/>
      <c r="D116" s="3"/>
      <c r="E116" s="3">
        <f t="shared" si="4"/>
        <v>106</v>
      </c>
      <c r="F116" s="4" t="s">
        <v>146</v>
      </c>
      <c r="G116" s="34">
        <f t="shared" si="3"/>
        <v>0</v>
      </c>
      <c r="H116" s="3"/>
      <c r="I116" s="4" t="s">
        <v>11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5">
      <c r="A117" s="3"/>
      <c r="B117" s="3"/>
      <c r="C117" s="3"/>
      <c r="D117" s="3"/>
      <c r="E117" s="3">
        <f t="shared" si="4"/>
        <v>107</v>
      </c>
      <c r="F117" s="4" t="s">
        <v>147</v>
      </c>
      <c r="G117" s="34">
        <f t="shared" si="3"/>
        <v>0</v>
      </c>
      <c r="H117" s="3"/>
      <c r="I117" s="4" t="s">
        <v>6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5">
      <c r="A118" s="3"/>
      <c r="B118" s="3"/>
      <c r="C118" s="3"/>
      <c r="D118" s="3"/>
      <c r="E118" s="3">
        <f t="shared" si="4"/>
        <v>108</v>
      </c>
      <c r="F118" s="4" t="s">
        <v>162</v>
      </c>
      <c r="G118" s="34">
        <f t="shared" si="3"/>
        <v>0</v>
      </c>
      <c r="H118" s="3"/>
      <c r="I118" s="4" t="s">
        <v>6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5">
      <c r="A119" s="3"/>
      <c r="B119" s="3"/>
      <c r="C119" s="3"/>
      <c r="D119" s="3"/>
      <c r="E119" s="3">
        <f t="shared" si="4"/>
        <v>109</v>
      </c>
      <c r="F119" s="4" t="s">
        <v>148</v>
      </c>
      <c r="G119" s="34">
        <f t="shared" si="3"/>
        <v>0</v>
      </c>
      <c r="H119" s="3"/>
      <c r="I119" s="4" t="s">
        <v>6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3"/>
      <c r="B120" s="3"/>
      <c r="C120" s="3"/>
      <c r="D120" s="3"/>
      <c r="E120" s="3">
        <f t="shared" si="4"/>
        <v>110</v>
      </c>
      <c r="F120" s="4" t="s">
        <v>150</v>
      </c>
      <c r="G120" s="34">
        <f t="shared" si="3"/>
        <v>0</v>
      </c>
      <c r="H120" s="3"/>
      <c r="I120" s="4" t="s">
        <v>115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3"/>
      <c r="B121" s="3"/>
      <c r="C121" s="3"/>
      <c r="D121" s="3"/>
      <c r="E121" s="3">
        <f t="shared" si="4"/>
        <v>111</v>
      </c>
      <c r="F121" s="4" t="s">
        <v>151</v>
      </c>
      <c r="G121" s="34">
        <f t="shared" si="3"/>
        <v>0</v>
      </c>
      <c r="H121" s="3"/>
      <c r="I121" s="4" t="s">
        <v>115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5">
      <c r="A122" s="3"/>
      <c r="B122" s="3"/>
      <c r="C122" s="3"/>
      <c r="D122" s="3"/>
      <c r="E122" s="3">
        <f t="shared" si="4"/>
        <v>112</v>
      </c>
      <c r="F122" s="4" t="s">
        <v>149</v>
      </c>
      <c r="G122" s="34">
        <f t="shared" si="3"/>
        <v>0</v>
      </c>
      <c r="H122" s="3"/>
      <c r="I122" s="4" t="s">
        <v>115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5">
      <c r="A123" s="3"/>
      <c r="B123" s="3"/>
      <c r="C123" s="3"/>
      <c r="D123" s="3"/>
      <c r="E123" s="3">
        <f t="shared" si="4"/>
        <v>113</v>
      </c>
      <c r="F123" s="4" t="s">
        <v>152</v>
      </c>
      <c r="G123" s="34">
        <f t="shared" si="3"/>
        <v>0</v>
      </c>
      <c r="H123" s="3"/>
      <c r="I123" s="4" t="s">
        <v>6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5">
      <c r="A124" s="3"/>
      <c r="B124" s="3"/>
      <c r="C124" s="3"/>
      <c r="D124" s="3"/>
      <c r="E124" s="3">
        <f t="shared" si="4"/>
        <v>114</v>
      </c>
      <c r="F124" s="4" t="s">
        <v>153</v>
      </c>
      <c r="G124" s="34">
        <f t="shared" si="3"/>
        <v>0</v>
      </c>
      <c r="H124" s="3"/>
      <c r="I124" s="4" t="s">
        <v>6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5">
      <c r="A125" s="3"/>
      <c r="B125" s="3"/>
      <c r="C125" s="3"/>
      <c r="D125" s="3"/>
      <c r="E125" s="3">
        <f t="shared" si="4"/>
        <v>115</v>
      </c>
      <c r="F125" s="4" t="s">
        <v>154</v>
      </c>
      <c r="G125" s="34">
        <f t="shared" si="3"/>
        <v>0</v>
      </c>
      <c r="H125" s="3"/>
      <c r="I125" s="4" t="s">
        <v>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3"/>
      <c r="B126" s="3"/>
      <c r="C126" s="3"/>
      <c r="D126" s="3"/>
      <c r="E126" s="3">
        <f t="shared" si="4"/>
        <v>116</v>
      </c>
      <c r="F126" s="4" t="s">
        <v>155</v>
      </c>
      <c r="G126" s="34">
        <f t="shared" si="3"/>
        <v>0</v>
      </c>
      <c r="H126" s="3"/>
      <c r="I126" s="4" t="s">
        <v>6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3"/>
      <c r="B127" s="3"/>
      <c r="C127" s="3"/>
      <c r="D127" s="3"/>
      <c r="E127" s="3">
        <f t="shared" si="4"/>
        <v>117</v>
      </c>
      <c r="F127" s="4" t="s">
        <v>156</v>
      </c>
      <c r="G127" s="34">
        <f t="shared" si="3"/>
        <v>0</v>
      </c>
      <c r="H127" s="3"/>
      <c r="I127" s="4" t="s">
        <v>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3"/>
      <c r="B128" s="3"/>
      <c r="C128" s="3"/>
      <c r="D128" s="3"/>
      <c r="E128" s="3">
        <f t="shared" si="4"/>
        <v>118</v>
      </c>
      <c r="F128" s="4" t="s">
        <v>157</v>
      </c>
      <c r="G128" s="34">
        <f t="shared" si="3"/>
        <v>0</v>
      </c>
      <c r="H128" s="3"/>
      <c r="I128" s="4" t="s">
        <v>6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3"/>
      <c r="B129" s="3"/>
      <c r="C129" s="3"/>
      <c r="D129" s="3"/>
      <c r="E129" s="3">
        <f t="shared" si="4"/>
        <v>119</v>
      </c>
      <c r="F129" s="4" t="s">
        <v>158</v>
      </c>
      <c r="G129" s="34">
        <f t="shared" si="3"/>
        <v>0</v>
      </c>
      <c r="H129" s="3"/>
      <c r="I129" s="4" t="s">
        <v>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5">
      <c r="A130" s="3"/>
      <c r="B130" s="3"/>
      <c r="C130" s="3"/>
      <c r="D130" s="3"/>
      <c r="E130" s="3">
        <f t="shared" si="4"/>
        <v>120</v>
      </c>
      <c r="F130" s="4" t="s">
        <v>159</v>
      </c>
      <c r="G130" s="34">
        <f t="shared" si="3"/>
        <v>0</v>
      </c>
      <c r="H130" s="3"/>
      <c r="I130" s="4" t="s">
        <v>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3"/>
      <c r="B131" s="3"/>
      <c r="C131" s="3"/>
      <c r="D131" s="3"/>
      <c r="E131" s="3">
        <f t="shared" si="4"/>
        <v>121</v>
      </c>
      <c r="F131" s="4" t="s">
        <v>160</v>
      </c>
      <c r="G131" s="34">
        <f t="shared" si="3"/>
        <v>0</v>
      </c>
      <c r="H131" s="3"/>
      <c r="I131" s="4" t="s">
        <v>6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5">
      <c r="A132" s="3"/>
      <c r="B132" s="3"/>
      <c r="C132" s="3"/>
      <c r="D132" s="3"/>
      <c r="E132" s="3">
        <f t="shared" si="4"/>
        <v>122</v>
      </c>
      <c r="F132" s="4" t="s">
        <v>163</v>
      </c>
      <c r="G132" s="34">
        <f t="shared" si="3"/>
        <v>0</v>
      </c>
      <c r="H132" s="3"/>
      <c r="I132" s="4" t="s">
        <v>6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5">
      <c r="A133" s="3"/>
      <c r="B133" s="3"/>
      <c r="C133" s="3"/>
      <c r="D133" s="3"/>
      <c r="E133" s="3">
        <f t="shared" si="4"/>
        <v>123</v>
      </c>
      <c r="F133" s="4" t="s">
        <v>164</v>
      </c>
      <c r="G133" s="34">
        <f t="shared" si="3"/>
        <v>0</v>
      </c>
      <c r="H133" s="3"/>
      <c r="I133" s="4" t="s">
        <v>6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3"/>
      <c r="B134" s="3"/>
      <c r="C134" s="3"/>
      <c r="D134" s="3"/>
      <c r="E134" s="3">
        <f t="shared" si="4"/>
        <v>124</v>
      </c>
      <c r="F134" s="4" t="s">
        <v>165</v>
      </c>
      <c r="G134" s="34">
        <f t="shared" si="3"/>
        <v>0</v>
      </c>
      <c r="H134" s="3"/>
      <c r="I134" s="4" t="s">
        <v>6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3"/>
      <c r="B135" s="3"/>
      <c r="C135" s="3"/>
      <c r="D135" s="3"/>
      <c r="E135" s="3">
        <f t="shared" si="4"/>
        <v>125</v>
      </c>
      <c r="F135" s="4" t="s">
        <v>166</v>
      </c>
      <c r="G135" s="34">
        <f t="shared" si="3"/>
        <v>0</v>
      </c>
      <c r="H135" s="3"/>
      <c r="I135" s="4" t="s">
        <v>6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3"/>
      <c r="B136" s="3"/>
      <c r="C136" s="3"/>
      <c r="D136" s="3"/>
      <c r="E136" s="3">
        <f t="shared" si="4"/>
        <v>126</v>
      </c>
      <c r="F136" s="4" t="s">
        <v>167</v>
      </c>
      <c r="G136" s="34">
        <f t="shared" si="3"/>
        <v>0</v>
      </c>
      <c r="H136" s="3"/>
      <c r="I136" s="4" t="s">
        <v>6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5">
      <c r="A137" s="3"/>
      <c r="B137" s="3"/>
      <c r="C137" s="3"/>
      <c r="D137" s="3"/>
      <c r="E137" s="3">
        <f t="shared" si="4"/>
        <v>127</v>
      </c>
      <c r="F137" s="4" t="s">
        <v>168</v>
      </c>
      <c r="G137" s="34">
        <f t="shared" si="3"/>
        <v>0</v>
      </c>
      <c r="H137" s="3"/>
      <c r="I137" s="4" t="s">
        <v>6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3"/>
      <c r="B138" s="3"/>
      <c r="C138" s="3"/>
      <c r="D138" s="3"/>
      <c r="E138" s="3">
        <f t="shared" si="4"/>
        <v>128</v>
      </c>
      <c r="F138" s="4" t="s">
        <v>169</v>
      </c>
      <c r="G138" s="34">
        <f t="shared" si="3"/>
        <v>0</v>
      </c>
      <c r="H138" s="3"/>
      <c r="I138" s="4" t="s">
        <v>6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3"/>
      <c r="B139" s="3"/>
      <c r="C139" s="3"/>
      <c r="D139" s="3"/>
      <c r="E139" s="3">
        <f t="shared" si="4"/>
        <v>129</v>
      </c>
      <c r="F139" s="4" t="s">
        <v>170</v>
      </c>
      <c r="G139" s="34">
        <f t="shared" ref="G139:G202" si="5">IF(F139="","",IF(COUNTIF(F:F,F139)&lt;&gt;1,1,0))</f>
        <v>0</v>
      </c>
      <c r="H139" s="3"/>
      <c r="I139" s="4" t="s">
        <v>6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3"/>
      <c r="B140" s="3"/>
      <c r="C140" s="3"/>
      <c r="D140" s="3"/>
      <c r="E140" s="3">
        <f t="shared" si="4"/>
        <v>130</v>
      </c>
      <c r="F140" s="4" t="s">
        <v>171</v>
      </c>
      <c r="G140" s="34">
        <f t="shared" si="5"/>
        <v>0</v>
      </c>
      <c r="H140" s="3"/>
      <c r="I140" s="4" t="s">
        <v>6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5">
      <c r="A141" s="3"/>
      <c r="B141" s="3"/>
      <c r="C141" s="3"/>
      <c r="D141" s="3"/>
      <c r="E141" s="3">
        <f t="shared" si="4"/>
        <v>131</v>
      </c>
      <c r="F141" s="4" t="s">
        <v>172</v>
      </c>
      <c r="G141" s="34">
        <f t="shared" si="5"/>
        <v>0</v>
      </c>
      <c r="H141" s="3"/>
      <c r="I141" s="4" t="s">
        <v>6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3"/>
      <c r="B142" s="3"/>
      <c r="C142" s="3"/>
      <c r="D142" s="3"/>
      <c r="E142" s="3">
        <f t="shared" si="4"/>
        <v>132</v>
      </c>
      <c r="F142" s="4" t="s">
        <v>173</v>
      </c>
      <c r="G142" s="34">
        <f t="shared" si="5"/>
        <v>0</v>
      </c>
      <c r="H142" s="3"/>
      <c r="I142" s="4" t="s">
        <v>11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3"/>
      <c r="B143" s="3"/>
      <c r="C143" s="3"/>
      <c r="D143" s="3"/>
      <c r="E143" s="3">
        <f t="shared" si="4"/>
        <v>133</v>
      </c>
      <c r="F143" s="4" t="s">
        <v>174</v>
      </c>
      <c r="G143" s="34">
        <f t="shared" si="5"/>
        <v>0</v>
      </c>
      <c r="H143" s="3"/>
      <c r="I143" s="4" t="s">
        <v>60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5">
      <c r="A144" s="3"/>
      <c r="B144" s="3"/>
      <c r="C144" s="3"/>
      <c r="D144" s="3"/>
      <c r="E144" s="3">
        <f t="shared" ref="E144:E209" si="6">E143+1</f>
        <v>134</v>
      </c>
      <c r="F144" s="4" t="s">
        <v>175</v>
      </c>
      <c r="G144" s="34">
        <f t="shared" si="5"/>
        <v>0</v>
      </c>
      <c r="H144" s="3"/>
      <c r="I144" s="4" t="s">
        <v>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5">
      <c r="A145" s="3"/>
      <c r="B145" s="3"/>
      <c r="C145" s="3"/>
      <c r="D145" s="3"/>
      <c r="E145" s="3">
        <f t="shared" si="6"/>
        <v>135</v>
      </c>
      <c r="F145" s="4" t="s">
        <v>176</v>
      </c>
      <c r="G145" s="34">
        <f t="shared" si="5"/>
        <v>0</v>
      </c>
      <c r="H145" s="3"/>
      <c r="I145" s="4" t="s">
        <v>6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5">
      <c r="A146" s="3"/>
      <c r="B146" s="3"/>
      <c r="C146" s="3"/>
      <c r="D146" s="3"/>
      <c r="E146" s="3">
        <f t="shared" si="6"/>
        <v>136</v>
      </c>
      <c r="F146" s="4" t="s">
        <v>177</v>
      </c>
      <c r="G146" s="34">
        <f t="shared" si="5"/>
        <v>0</v>
      </c>
      <c r="H146" s="3"/>
      <c r="I146" s="4" t="s">
        <v>6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"/>
      <c r="B147" s="3"/>
      <c r="C147" s="3"/>
      <c r="D147" s="3"/>
      <c r="E147" s="3">
        <f t="shared" si="6"/>
        <v>137</v>
      </c>
      <c r="F147" s="4" t="s">
        <v>179</v>
      </c>
      <c r="G147" s="34">
        <f t="shared" si="5"/>
        <v>0</v>
      </c>
      <c r="H147" s="3"/>
      <c r="I147" s="4" t="s">
        <v>6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3"/>
      <c r="B148" s="3"/>
      <c r="C148" s="3"/>
      <c r="D148" s="3"/>
      <c r="E148" s="3">
        <f t="shared" si="6"/>
        <v>138</v>
      </c>
      <c r="F148" s="4" t="s">
        <v>298</v>
      </c>
      <c r="G148" s="34">
        <f t="shared" si="5"/>
        <v>0</v>
      </c>
      <c r="H148" s="3"/>
      <c r="I148" s="4" t="s">
        <v>11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3"/>
      <c r="B149" s="3"/>
      <c r="C149" s="3"/>
      <c r="D149" s="3"/>
      <c r="E149" s="3">
        <f t="shared" si="6"/>
        <v>139</v>
      </c>
      <c r="F149" s="4" t="s">
        <v>297</v>
      </c>
      <c r="G149" s="34">
        <f t="shared" si="5"/>
        <v>0</v>
      </c>
      <c r="H149" s="3"/>
      <c r="I149" s="4" t="s">
        <v>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5">
      <c r="A150" s="3"/>
      <c r="B150" s="3"/>
      <c r="C150" s="3"/>
      <c r="D150" s="3"/>
      <c r="E150" s="3">
        <f t="shared" si="6"/>
        <v>140</v>
      </c>
      <c r="F150" s="4" t="s">
        <v>178</v>
      </c>
      <c r="G150" s="34">
        <f t="shared" si="5"/>
        <v>0</v>
      </c>
      <c r="H150" s="3"/>
      <c r="I150" s="4" t="s">
        <v>6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25">
      <c r="A151" s="3"/>
      <c r="B151" s="3"/>
      <c r="C151" s="3"/>
      <c r="D151" s="3"/>
      <c r="E151" s="3">
        <f t="shared" si="6"/>
        <v>141</v>
      </c>
      <c r="F151" s="4" t="s">
        <v>292</v>
      </c>
      <c r="G151" s="34">
        <f t="shared" si="5"/>
        <v>0</v>
      </c>
      <c r="H151" s="3"/>
      <c r="I151" s="4" t="s">
        <v>6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25">
      <c r="A152" s="3"/>
      <c r="B152" s="3"/>
      <c r="C152" s="3"/>
      <c r="D152" s="3"/>
      <c r="E152" s="3">
        <f t="shared" si="6"/>
        <v>142</v>
      </c>
      <c r="F152" s="4" t="s">
        <v>180</v>
      </c>
      <c r="G152" s="34">
        <f t="shared" si="5"/>
        <v>0</v>
      </c>
      <c r="H152" s="3"/>
      <c r="I152" s="4" t="s">
        <v>11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25">
      <c r="A153" s="3"/>
      <c r="B153" s="3"/>
      <c r="C153" s="3"/>
      <c r="D153" s="3"/>
      <c r="E153" s="3">
        <f t="shared" si="6"/>
        <v>143</v>
      </c>
      <c r="F153" s="4" t="s">
        <v>181</v>
      </c>
      <c r="G153" s="34">
        <f t="shared" si="5"/>
        <v>0</v>
      </c>
      <c r="H153" s="3"/>
      <c r="I153" s="4" t="s">
        <v>6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3"/>
      <c r="B154" s="3"/>
      <c r="C154" s="3"/>
      <c r="D154" s="3"/>
      <c r="E154" s="3">
        <f t="shared" si="6"/>
        <v>144</v>
      </c>
      <c r="F154" s="4" t="s">
        <v>299</v>
      </c>
      <c r="G154" s="34">
        <f t="shared" si="5"/>
        <v>0</v>
      </c>
      <c r="H154" s="3"/>
      <c r="I154" s="4" t="s">
        <v>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25">
      <c r="A155" s="3"/>
      <c r="B155" s="3"/>
      <c r="C155" s="3"/>
      <c r="D155" s="3"/>
      <c r="E155" s="3">
        <f t="shared" si="6"/>
        <v>145</v>
      </c>
      <c r="F155" s="4" t="s">
        <v>182</v>
      </c>
      <c r="G155" s="34">
        <f t="shared" si="5"/>
        <v>0</v>
      </c>
      <c r="H155" s="3"/>
      <c r="I155" s="4" t="s">
        <v>60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25">
      <c r="A156" s="3"/>
      <c r="B156" s="3"/>
      <c r="C156" s="3"/>
      <c r="D156" s="3"/>
      <c r="E156" s="3">
        <f t="shared" si="6"/>
        <v>146</v>
      </c>
      <c r="F156" s="4" t="s">
        <v>183</v>
      </c>
      <c r="G156" s="34">
        <f t="shared" si="5"/>
        <v>0</v>
      </c>
      <c r="H156" s="3"/>
      <c r="I156" s="4" t="s">
        <v>6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5">
      <c r="A157" s="3"/>
      <c r="B157" s="3"/>
      <c r="C157" s="3"/>
      <c r="D157" s="3"/>
      <c r="E157" s="3">
        <f t="shared" si="6"/>
        <v>147</v>
      </c>
      <c r="F157" s="4" t="s">
        <v>184</v>
      </c>
      <c r="G157" s="34">
        <f t="shared" si="5"/>
        <v>0</v>
      </c>
      <c r="H157" s="3"/>
      <c r="I157" s="4" t="s">
        <v>6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5">
      <c r="A158" s="3"/>
      <c r="B158" s="3"/>
      <c r="C158" s="3"/>
      <c r="D158" s="3"/>
      <c r="E158" s="3">
        <f t="shared" si="6"/>
        <v>148</v>
      </c>
      <c r="F158" s="4" t="s">
        <v>185</v>
      </c>
      <c r="G158" s="34">
        <f t="shared" si="5"/>
        <v>0</v>
      </c>
      <c r="H158" s="3"/>
      <c r="I158" s="4" t="s">
        <v>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3"/>
      <c r="B159" s="3"/>
      <c r="C159" s="3"/>
      <c r="D159" s="3"/>
      <c r="E159" s="3">
        <f t="shared" si="6"/>
        <v>149</v>
      </c>
      <c r="F159" s="4" t="s">
        <v>186</v>
      </c>
      <c r="G159" s="34">
        <f t="shared" si="5"/>
        <v>0</v>
      </c>
      <c r="H159" s="3"/>
      <c r="I159" s="4" t="s">
        <v>60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25">
      <c r="A160" s="3"/>
      <c r="B160" s="3"/>
      <c r="C160" s="3"/>
      <c r="D160" s="3"/>
      <c r="E160" s="3">
        <f t="shared" si="6"/>
        <v>150</v>
      </c>
      <c r="F160" s="4" t="s">
        <v>188</v>
      </c>
      <c r="G160" s="34">
        <f t="shared" si="5"/>
        <v>0</v>
      </c>
      <c r="H160" s="3"/>
      <c r="I160" s="4" t="s">
        <v>6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25">
      <c r="A161" s="3"/>
      <c r="B161" s="3"/>
      <c r="C161" s="3"/>
      <c r="D161" s="3"/>
      <c r="E161" s="3">
        <f t="shared" si="6"/>
        <v>151</v>
      </c>
      <c r="F161" s="4" t="s">
        <v>187</v>
      </c>
      <c r="G161" s="34">
        <f t="shared" si="5"/>
        <v>0</v>
      </c>
      <c r="H161" s="3"/>
      <c r="I161" s="4" t="s">
        <v>6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25">
      <c r="A162" s="3"/>
      <c r="B162" s="3"/>
      <c r="C162" s="3"/>
      <c r="D162" s="3"/>
      <c r="E162" s="3">
        <f t="shared" si="6"/>
        <v>152</v>
      </c>
      <c r="F162" s="4" t="s">
        <v>189</v>
      </c>
      <c r="G162" s="34">
        <f t="shared" si="5"/>
        <v>0</v>
      </c>
      <c r="H162" s="3"/>
      <c r="I162" s="4" t="s">
        <v>6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3"/>
      <c r="B163" s="3"/>
      <c r="C163" s="3"/>
      <c r="D163" s="3"/>
      <c r="E163" s="3">
        <f t="shared" si="6"/>
        <v>153</v>
      </c>
      <c r="F163" s="4" t="s">
        <v>190</v>
      </c>
      <c r="G163" s="34">
        <f t="shared" si="5"/>
        <v>0</v>
      </c>
      <c r="H163" s="3"/>
      <c r="I163" s="4" t="s">
        <v>60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x14ac:dyDescent="0.25">
      <c r="A164" s="3"/>
      <c r="B164" s="3"/>
      <c r="C164" s="3"/>
      <c r="D164" s="3"/>
      <c r="E164" s="3">
        <f t="shared" si="6"/>
        <v>154</v>
      </c>
      <c r="F164" s="4" t="s">
        <v>191</v>
      </c>
      <c r="G164" s="34">
        <f t="shared" si="5"/>
        <v>0</v>
      </c>
      <c r="H164" s="3"/>
      <c r="I164" s="4" t="s">
        <v>6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25">
      <c r="A165" s="3"/>
      <c r="B165" s="3"/>
      <c r="C165" s="3"/>
      <c r="D165" s="3"/>
      <c r="E165" s="3">
        <f t="shared" si="6"/>
        <v>155</v>
      </c>
      <c r="F165" s="4" t="s">
        <v>192</v>
      </c>
      <c r="G165" s="34">
        <f t="shared" si="5"/>
        <v>0</v>
      </c>
      <c r="H165" s="3"/>
      <c r="I165" s="4" t="s">
        <v>6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3"/>
      <c r="B166" s="3"/>
      <c r="C166" s="3"/>
      <c r="D166" s="3"/>
      <c r="E166" s="3">
        <f t="shared" si="6"/>
        <v>156</v>
      </c>
      <c r="F166" s="4" t="s">
        <v>193</v>
      </c>
      <c r="G166" s="34">
        <f t="shared" si="5"/>
        <v>0</v>
      </c>
      <c r="H166" s="3"/>
      <c r="I166" s="4" t="s">
        <v>60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5">
      <c r="A167" s="3"/>
      <c r="B167" s="3"/>
      <c r="C167" s="3"/>
      <c r="D167" s="3"/>
      <c r="E167" s="3">
        <f t="shared" si="6"/>
        <v>157</v>
      </c>
      <c r="F167" s="4" t="s">
        <v>194</v>
      </c>
      <c r="G167" s="34">
        <f t="shared" si="5"/>
        <v>0</v>
      </c>
      <c r="H167" s="3"/>
      <c r="I167" s="4" t="s">
        <v>6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x14ac:dyDescent="0.25">
      <c r="A168" s="3"/>
      <c r="B168" s="3"/>
      <c r="C168" s="3"/>
      <c r="D168" s="3"/>
      <c r="E168" s="3">
        <f t="shared" si="6"/>
        <v>158</v>
      </c>
      <c r="F168" s="4" t="s">
        <v>195</v>
      </c>
      <c r="G168" s="34">
        <f t="shared" si="5"/>
        <v>0</v>
      </c>
      <c r="H168" s="3"/>
      <c r="I168" s="4" t="s">
        <v>6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5">
      <c r="A169" s="3"/>
      <c r="B169" s="3"/>
      <c r="C169" s="3"/>
      <c r="D169" s="3"/>
      <c r="E169" s="3">
        <f t="shared" si="6"/>
        <v>159</v>
      </c>
      <c r="F169" s="4" t="s">
        <v>196</v>
      </c>
      <c r="G169" s="34">
        <f t="shared" si="5"/>
        <v>0</v>
      </c>
      <c r="H169" s="3"/>
      <c r="I169" s="4" t="s">
        <v>60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5">
      <c r="A170" s="3"/>
      <c r="B170" s="3"/>
      <c r="C170" s="3"/>
      <c r="D170" s="3"/>
      <c r="E170" s="3">
        <f t="shared" si="6"/>
        <v>160</v>
      </c>
      <c r="F170" s="4" t="s">
        <v>199</v>
      </c>
      <c r="G170" s="34">
        <f t="shared" si="5"/>
        <v>0</v>
      </c>
      <c r="H170" s="3"/>
      <c r="I170" s="4" t="s">
        <v>6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3"/>
      <c r="B171" s="3"/>
      <c r="C171" s="3"/>
      <c r="D171" s="3"/>
      <c r="E171" s="3">
        <f t="shared" si="6"/>
        <v>161</v>
      </c>
      <c r="F171" s="4" t="s">
        <v>197</v>
      </c>
      <c r="G171" s="34">
        <f t="shared" si="5"/>
        <v>0</v>
      </c>
      <c r="H171" s="3"/>
      <c r="I171" s="4" t="s">
        <v>6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25">
      <c r="A172" s="3"/>
      <c r="B172" s="3"/>
      <c r="C172" s="3"/>
      <c r="D172" s="3"/>
      <c r="E172" s="3">
        <f t="shared" si="6"/>
        <v>162</v>
      </c>
      <c r="F172" s="4" t="s">
        <v>198</v>
      </c>
      <c r="G172" s="34">
        <f t="shared" si="5"/>
        <v>0</v>
      </c>
      <c r="H172" s="3"/>
      <c r="I172" s="4" t="s">
        <v>60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5">
      <c r="A173" s="3"/>
      <c r="B173" s="3"/>
      <c r="C173" s="3"/>
      <c r="D173" s="3"/>
      <c r="E173" s="3">
        <f t="shared" si="6"/>
        <v>163</v>
      </c>
      <c r="F173" s="4" t="s">
        <v>200</v>
      </c>
      <c r="G173" s="34">
        <f t="shared" si="5"/>
        <v>0</v>
      </c>
      <c r="H173" s="3"/>
      <c r="I173" s="4" t="s">
        <v>6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x14ac:dyDescent="0.25">
      <c r="A174" s="3"/>
      <c r="B174" s="3"/>
      <c r="C174" s="3"/>
      <c r="D174" s="3"/>
      <c r="E174" s="3">
        <f t="shared" si="6"/>
        <v>164</v>
      </c>
      <c r="F174" s="4" t="s">
        <v>201</v>
      </c>
      <c r="G174" s="34">
        <f t="shared" si="5"/>
        <v>0</v>
      </c>
      <c r="H174" s="3"/>
      <c r="I174" s="4" t="s">
        <v>6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5">
      <c r="A175" s="3"/>
      <c r="B175" s="3"/>
      <c r="C175" s="3"/>
      <c r="D175" s="3"/>
      <c r="E175" s="3">
        <f t="shared" si="6"/>
        <v>165</v>
      </c>
      <c r="F175" s="4" t="s">
        <v>202</v>
      </c>
      <c r="G175" s="34">
        <f t="shared" si="5"/>
        <v>0</v>
      </c>
      <c r="H175" s="3"/>
      <c r="I175" s="4" t="s">
        <v>60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5">
      <c r="A176" s="3"/>
      <c r="B176" s="3"/>
      <c r="C176" s="3"/>
      <c r="D176" s="3"/>
      <c r="E176" s="3">
        <f t="shared" si="6"/>
        <v>166</v>
      </c>
      <c r="F176" s="4" t="s">
        <v>203</v>
      </c>
      <c r="G176" s="34">
        <f t="shared" si="5"/>
        <v>0</v>
      </c>
      <c r="H176" s="3"/>
      <c r="I176" s="4" t="s">
        <v>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5">
      <c r="A177" s="3"/>
      <c r="B177" s="3"/>
      <c r="C177" s="3"/>
      <c r="D177" s="3"/>
      <c r="E177" s="3">
        <f t="shared" si="6"/>
        <v>167</v>
      </c>
      <c r="F177" s="4" t="s">
        <v>204</v>
      </c>
      <c r="G177" s="34">
        <f t="shared" si="5"/>
        <v>0</v>
      </c>
      <c r="H177" s="3"/>
      <c r="I177" s="4" t="s">
        <v>6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5">
      <c r="A178" s="3"/>
      <c r="B178" s="3"/>
      <c r="C178" s="3"/>
      <c r="D178" s="3"/>
      <c r="E178" s="3">
        <f t="shared" si="6"/>
        <v>168</v>
      </c>
      <c r="F178" s="4" t="s">
        <v>205</v>
      </c>
      <c r="G178" s="34">
        <f t="shared" si="5"/>
        <v>0</v>
      </c>
      <c r="H178" s="3"/>
      <c r="I178" s="4" t="s">
        <v>60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5">
      <c r="A179" s="3"/>
      <c r="B179" s="3"/>
      <c r="C179" s="3"/>
      <c r="D179" s="3"/>
      <c r="E179" s="3">
        <f t="shared" si="6"/>
        <v>169</v>
      </c>
      <c r="F179" s="4" t="s">
        <v>206</v>
      </c>
      <c r="G179" s="34">
        <f t="shared" si="5"/>
        <v>0</v>
      </c>
      <c r="H179" s="3"/>
      <c r="I179" s="4" t="s">
        <v>6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5">
      <c r="A180" s="3"/>
      <c r="B180" s="3"/>
      <c r="C180" s="3"/>
      <c r="D180" s="3"/>
      <c r="E180" s="3">
        <f t="shared" si="6"/>
        <v>170</v>
      </c>
      <c r="F180" s="4" t="s">
        <v>207</v>
      </c>
      <c r="G180" s="34">
        <f t="shared" si="5"/>
        <v>0</v>
      </c>
      <c r="H180" s="3"/>
      <c r="I180" s="4" t="s">
        <v>6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5">
      <c r="A181" s="3"/>
      <c r="B181" s="3"/>
      <c r="C181" s="3"/>
      <c r="D181" s="3"/>
      <c r="E181" s="3">
        <f t="shared" si="6"/>
        <v>171</v>
      </c>
      <c r="F181" s="4" t="s">
        <v>225</v>
      </c>
      <c r="G181" s="34">
        <f t="shared" si="5"/>
        <v>0</v>
      </c>
      <c r="H181" s="3"/>
      <c r="I181" s="4" t="s">
        <v>6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5">
      <c r="A182" s="3"/>
      <c r="B182" s="3"/>
      <c r="C182" s="3"/>
      <c r="D182" s="3"/>
      <c r="E182" s="3">
        <f t="shared" si="6"/>
        <v>172</v>
      </c>
      <c r="F182" s="4" t="s">
        <v>208</v>
      </c>
      <c r="G182" s="34">
        <f t="shared" si="5"/>
        <v>0</v>
      </c>
      <c r="H182" s="3"/>
      <c r="I182" s="4" t="s">
        <v>6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5">
      <c r="A183" s="3"/>
      <c r="B183" s="3"/>
      <c r="C183" s="3"/>
      <c r="D183" s="3"/>
      <c r="E183" s="3">
        <f t="shared" si="6"/>
        <v>173</v>
      </c>
      <c r="F183" s="4" t="s">
        <v>209</v>
      </c>
      <c r="G183" s="34">
        <f t="shared" si="5"/>
        <v>0</v>
      </c>
      <c r="H183" s="3"/>
      <c r="I183" s="4" t="s">
        <v>6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5">
      <c r="A184" s="3"/>
      <c r="B184" s="3"/>
      <c r="C184" s="3"/>
      <c r="D184" s="3"/>
      <c r="E184" s="3">
        <f t="shared" si="6"/>
        <v>174</v>
      </c>
      <c r="F184" s="4" t="s">
        <v>216</v>
      </c>
      <c r="G184" s="34">
        <f t="shared" si="5"/>
        <v>0</v>
      </c>
      <c r="H184" s="3"/>
      <c r="I184" s="4" t="s">
        <v>11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3"/>
      <c r="B185" s="3"/>
      <c r="C185" s="3"/>
      <c r="D185" s="3"/>
      <c r="E185" s="3">
        <f t="shared" si="6"/>
        <v>175</v>
      </c>
      <c r="F185" s="4" t="s">
        <v>210</v>
      </c>
      <c r="G185" s="34">
        <f t="shared" si="5"/>
        <v>0</v>
      </c>
      <c r="H185" s="3"/>
      <c r="I185" s="4" t="s">
        <v>6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25">
      <c r="A186" s="3"/>
      <c r="B186" s="3"/>
      <c r="C186" s="3"/>
      <c r="D186" s="3"/>
      <c r="E186" s="3">
        <f t="shared" si="6"/>
        <v>176</v>
      </c>
      <c r="F186" s="4" t="s">
        <v>211</v>
      </c>
      <c r="G186" s="34">
        <f t="shared" si="5"/>
        <v>0</v>
      </c>
      <c r="H186" s="3"/>
      <c r="I186" s="4" t="s">
        <v>6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5">
      <c r="A187" s="3"/>
      <c r="B187" s="3"/>
      <c r="C187" s="3"/>
      <c r="D187" s="3"/>
      <c r="E187" s="3">
        <f t="shared" si="6"/>
        <v>177</v>
      </c>
      <c r="F187" s="4" t="s">
        <v>212</v>
      </c>
      <c r="G187" s="34">
        <f t="shared" si="5"/>
        <v>0</v>
      </c>
      <c r="H187" s="3"/>
      <c r="I187" s="4" t="s">
        <v>6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5">
      <c r="A188" s="3"/>
      <c r="B188" s="3"/>
      <c r="C188" s="3"/>
      <c r="D188" s="3"/>
      <c r="E188" s="3">
        <f t="shared" si="6"/>
        <v>178</v>
      </c>
      <c r="F188" s="4" t="s">
        <v>213</v>
      </c>
      <c r="G188" s="34">
        <f t="shared" si="5"/>
        <v>0</v>
      </c>
      <c r="H188" s="3"/>
      <c r="I188" s="4" t="s">
        <v>6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5">
      <c r="A189" s="3"/>
      <c r="B189" s="3"/>
      <c r="C189" s="3"/>
      <c r="D189" s="3"/>
      <c r="E189" s="3">
        <f t="shared" si="6"/>
        <v>179</v>
      </c>
      <c r="F189" s="4" t="s">
        <v>214</v>
      </c>
      <c r="G189" s="34">
        <f t="shared" si="5"/>
        <v>0</v>
      </c>
      <c r="H189" s="3"/>
      <c r="I189" s="4" t="s">
        <v>6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x14ac:dyDescent="0.25">
      <c r="A190" s="3"/>
      <c r="B190" s="3"/>
      <c r="C190" s="3"/>
      <c r="D190" s="3"/>
      <c r="E190" s="3">
        <f t="shared" si="6"/>
        <v>180</v>
      </c>
      <c r="F190" s="4" t="s">
        <v>218</v>
      </c>
      <c r="G190" s="34">
        <f t="shared" si="5"/>
        <v>0</v>
      </c>
      <c r="H190" s="3"/>
      <c r="I190" s="4" t="s">
        <v>6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5">
      <c r="A191" s="3"/>
      <c r="B191" s="3"/>
      <c r="C191" s="3"/>
      <c r="D191" s="3"/>
      <c r="E191" s="3">
        <f t="shared" si="6"/>
        <v>181</v>
      </c>
      <c r="F191" s="4" t="s">
        <v>229</v>
      </c>
      <c r="G191" s="34">
        <f t="shared" si="5"/>
        <v>0</v>
      </c>
      <c r="H191" s="3"/>
      <c r="I191" s="4" t="s">
        <v>6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5">
      <c r="A192" s="3"/>
      <c r="B192" s="3"/>
      <c r="C192" s="3"/>
      <c r="D192" s="3"/>
      <c r="E192" s="3">
        <f t="shared" si="6"/>
        <v>182</v>
      </c>
      <c r="F192" s="4" t="s">
        <v>215</v>
      </c>
      <c r="G192" s="34">
        <f t="shared" si="5"/>
        <v>0</v>
      </c>
      <c r="H192" s="3"/>
      <c r="I192" s="4" t="s">
        <v>6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25">
      <c r="A193" s="3"/>
      <c r="B193" s="3"/>
      <c r="C193" s="3"/>
      <c r="D193" s="3"/>
      <c r="E193" s="3">
        <f t="shared" si="6"/>
        <v>183</v>
      </c>
      <c r="F193" s="4" t="s">
        <v>217</v>
      </c>
      <c r="G193" s="34">
        <f t="shared" si="5"/>
        <v>0</v>
      </c>
      <c r="H193" s="3"/>
      <c r="I193" s="4" t="s">
        <v>6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5">
      <c r="A194" s="3"/>
      <c r="B194" s="3"/>
      <c r="C194" s="3"/>
      <c r="D194" s="3"/>
      <c r="E194" s="3">
        <f t="shared" si="6"/>
        <v>184</v>
      </c>
      <c r="F194" s="4" t="s">
        <v>219</v>
      </c>
      <c r="G194" s="34">
        <f t="shared" si="5"/>
        <v>0</v>
      </c>
      <c r="H194" s="3"/>
      <c r="I194" s="4" t="s">
        <v>6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25">
      <c r="A195" s="3"/>
      <c r="B195" s="3"/>
      <c r="C195" s="3"/>
      <c r="D195" s="3"/>
      <c r="E195" s="3">
        <f t="shared" si="6"/>
        <v>185</v>
      </c>
      <c r="F195" s="4" t="s">
        <v>220</v>
      </c>
      <c r="G195" s="34">
        <f t="shared" si="5"/>
        <v>0</v>
      </c>
      <c r="H195" s="3"/>
      <c r="I195" s="4" t="s">
        <v>6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5">
      <c r="A196" s="3"/>
      <c r="B196" s="3"/>
      <c r="C196" s="3"/>
      <c r="D196" s="3"/>
      <c r="E196" s="3">
        <f t="shared" si="6"/>
        <v>186</v>
      </c>
      <c r="F196" s="4" t="s">
        <v>221</v>
      </c>
      <c r="G196" s="34">
        <f t="shared" si="5"/>
        <v>0</v>
      </c>
      <c r="H196" s="3"/>
      <c r="I196" s="4" t="s">
        <v>6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25">
      <c r="A197" s="3"/>
      <c r="B197" s="3"/>
      <c r="C197" s="3"/>
      <c r="D197" s="3"/>
      <c r="E197" s="3">
        <f t="shared" si="6"/>
        <v>187</v>
      </c>
      <c r="F197" s="4" t="s">
        <v>222</v>
      </c>
      <c r="G197" s="34">
        <f t="shared" si="5"/>
        <v>0</v>
      </c>
      <c r="H197" s="3"/>
      <c r="I197" s="4" t="s">
        <v>6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5">
      <c r="A198" s="3"/>
      <c r="B198" s="3"/>
      <c r="C198" s="3"/>
      <c r="D198" s="3"/>
      <c r="E198" s="3">
        <f t="shared" si="6"/>
        <v>188</v>
      </c>
      <c r="F198" s="4" t="s">
        <v>223</v>
      </c>
      <c r="G198" s="34">
        <f t="shared" si="5"/>
        <v>0</v>
      </c>
      <c r="H198" s="3"/>
      <c r="I198" s="4" t="s">
        <v>6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5">
      <c r="A199" s="3"/>
      <c r="B199" s="3"/>
      <c r="C199" s="3"/>
      <c r="D199" s="3"/>
      <c r="E199" s="3">
        <f t="shared" si="6"/>
        <v>189</v>
      </c>
      <c r="F199" s="4" t="s">
        <v>224</v>
      </c>
      <c r="G199" s="34">
        <f t="shared" si="5"/>
        <v>0</v>
      </c>
      <c r="H199" s="3"/>
      <c r="I199" s="4" t="s">
        <v>6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25">
      <c r="A200" s="3"/>
      <c r="B200" s="3"/>
      <c r="C200" s="3"/>
      <c r="D200" s="3"/>
      <c r="E200" s="3">
        <f t="shared" si="6"/>
        <v>190</v>
      </c>
      <c r="F200" s="4" t="s">
        <v>226</v>
      </c>
      <c r="G200" s="34">
        <f t="shared" si="5"/>
        <v>0</v>
      </c>
      <c r="H200" s="3"/>
      <c r="I200" s="4" t="s">
        <v>6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x14ac:dyDescent="0.25">
      <c r="A201" s="3"/>
      <c r="B201" s="3"/>
      <c r="C201" s="3"/>
      <c r="D201" s="3"/>
      <c r="E201" s="3">
        <f t="shared" si="6"/>
        <v>191</v>
      </c>
      <c r="F201" s="4" t="s">
        <v>228</v>
      </c>
      <c r="G201" s="34">
        <f t="shared" si="5"/>
        <v>0</v>
      </c>
      <c r="H201" s="3"/>
      <c r="I201" s="4" t="s">
        <v>6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25">
      <c r="A202" s="3"/>
      <c r="B202" s="3"/>
      <c r="C202" s="3"/>
      <c r="D202" s="3"/>
      <c r="E202" s="3">
        <f t="shared" si="6"/>
        <v>192</v>
      </c>
      <c r="F202" s="4" t="s">
        <v>227</v>
      </c>
      <c r="G202" s="34">
        <f t="shared" si="5"/>
        <v>0</v>
      </c>
      <c r="H202" s="3"/>
      <c r="I202" s="4" t="s">
        <v>6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25">
      <c r="A203" s="3"/>
      <c r="B203" s="3"/>
      <c r="C203" s="3"/>
      <c r="D203" s="3"/>
      <c r="E203" s="3">
        <f t="shared" si="6"/>
        <v>193</v>
      </c>
      <c r="F203" s="4" t="s">
        <v>230</v>
      </c>
      <c r="G203" s="34">
        <f t="shared" ref="G203:G266" si="7">IF(F203="","",IF(COUNTIF(F:F,F203)&lt;&gt;1,1,0))</f>
        <v>0</v>
      </c>
      <c r="H203" s="3"/>
      <c r="I203" s="4" t="s">
        <v>6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25">
      <c r="A204" s="3"/>
      <c r="B204" s="3"/>
      <c r="C204" s="3"/>
      <c r="D204" s="3"/>
      <c r="E204" s="3">
        <f t="shared" si="6"/>
        <v>194</v>
      </c>
      <c r="F204" s="4" t="s">
        <v>231</v>
      </c>
      <c r="G204" s="34">
        <f t="shared" si="7"/>
        <v>0</v>
      </c>
      <c r="H204" s="3"/>
      <c r="I204" s="4" t="s">
        <v>6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25">
      <c r="A205" s="3"/>
      <c r="B205" s="3"/>
      <c r="C205" s="3"/>
      <c r="D205" s="3"/>
      <c r="E205" s="3">
        <f t="shared" si="6"/>
        <v>195</v>
      </c>
      <c r="F205" s="4" t="s">
        <v>232</v>
      </c>
      <c r="G205" s="34">
        <f t="shared" si="7"/>
        <v>0</v>
      </c>
      <c r="H205" s="3"/>
      <c r="I205" s="4" t="s">
        <v>6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25">
      <c r="A206" s="3"/>
      <c r="B206" s="3"/>
      <c r="C206" s="3"/>
      <c r="D206" s="3"/>
      <c r="E206" s="3">
        <f t="shared" si="6"/>
        <v>196</v>
      </c>
      <c r="F206" s="4" t="s">
        <v>233</v>
      </c>
      <c r="G206" s="34">
        <f t="shared" si="7"/>
        <v>0</v>
      </c>
      <c r="H206" s="3"/>
      <c r="I206" s="4" t="s">
        <v>6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25">
      <c r="A207" s="3"/>
      <c r="B207" s="3"/>
      <c r="C207" s="3"/>
      <c r="D207" s="3"/>
      <c r="E207" s="3">
        <f t="shared" si="6"/>
        <v>197</v>
      </c>
      <c r="F207" s="4" t="s">
        <v>234</v>
      </c>
      <c r="G207" s="34">
        <f t="shared" si="7"/>
        <v>0</v>
      </c>
      <c r="H207" s="3"/>
      <c r="I207" s="4" t="s">
        <v>6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5">
      <c r="A208" s="3"/>
      <c r="B208" s="3"/>
      <c r="C208" s="3"/>
      <c r="D208" s="3"/>
      <c r="E208" s="3">
        <f t="shared" ref="E208" si="8">E207+1</f>
        <v>198</v>
      </c>
      <c r="F208" s="4" t="s">
        <v>235</v>
      </c>
      <c r="G208" s="34">
        <f t="shared" si="7"/>
        <v>0</v>
      </c>
      <c r="H208" s="3"/>
      <c r="I208" s="4" t="s">
        <v>6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5">
      <c r="A209" s="3"/>
      <c r="B209" s="3"/>
      <c r="C209" s="3"/>
      <c r="D209" s="3"/>
      <c r="E209" s="3">
        <f t="shared" si="6"/>
        <v>199</v>
      </c>
      <c r="F209" s="4" t="s">
        <v>236</v>
      </c>
      <c r="G209" s="34">
        <f t="shared" si="7"/>
        <v>0</v>
      </c>
      <c r="H209" s="3"/>
      <c r="I209" s="4" t="s">
        <v>6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5">
      <c r="A210" s="3"/>
      <c r="B210" s="3"/>
      <c r="C210" s="3"/>
      <c r="D210" s="3"/>
      <c r="E210" s="3">
        <f t="shared" ref="E210:E273" si="9">E209+1</f>
        <v>200</v>
      </c>
      <c r="F210" s="4" t="s">
        <v>237</v>
      </c>
      <c r="G210" s="34">
        <f t="shared" si="7"/>
        <v>0</v>
      </c>
      <c r="H210" s="3"/>
      <c r="I210" s="4" t="s">
        <v>6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x14ac:dyDescent="0.25">
      <c r="A211" s="3"/>
      <c r="B211" s="3"/>
      <c r="C211" s="3"/>
      <c r="D211" s="3"/>
      <c r="E211" s="3">
        <f t="shared" si="9"/>
        <v>201</v>
      </c>
      <c r="F211" s="4" t="s">
        <v>238</v>
      </c>
      <c r="G211" s="34">
        <f t="shared" si="7"/>
        <v>0</v>
      </c>
      <c r="H211" s="3"/>
      <c r="I211" s="4" t="s">
        <v>6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5">
      <c r="A212" s="3"/>
      <c r="B212" s="3"/>
      <c r="C212" s="3"/>
      <c r="D212" s="3"/>
      <c r="E212" s="3">
        <f t="shared" si="9"/>
        <v>202</v>
      </c>
      <c r="F212" s="4" t="s">
        <v>239</v>
      </c>
      <c r="G212" s="34">
        <f t="shared" si="7"/>
        <v>0</v>
      </c>
      <c r="H212" s="3"/>
      <c r="I212" s="4" t="s">
        <v>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5">
      <c r="A213" s="3"/>
      <c r="B213" s="3"/>
      <c r="C213" s="3"/>
      <c r="D213" s="3"/>
      <c r="E213" s="3">
        <f t="shared" si="9"/>
        <v>203</v>
      </c>
      <c r="F213" s="4" t="s">
        <v>240</v>
      </c>
      <c r="G213" s="34">
        <f t="shared" si="7"/>
        <v>0</v>
      </c>
      <c r="H213" s="3"/>
      <c r="I213" s="4" t="s">
        <v>6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5">
      <c r="A214" s="3"/>
      <c r="B214" s="3"/>
      <c r="C214" s="3"/>
      <c r="D214" s="3"/>
      <c r="E214" s="3">
        <f t="shared" si="9"/>
        <v>204</v>
      </c>
      <c r="F214" s="4" t="s">
        <v>241</v>
      </c>
      <c r="G214" s="34">
        <f t="shared" si="7"/>
        <v>0</v>
      </c>
      <c r="H214" s="3"/>
      <c r="I214" s="4" t="s">
        <v>13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5">
      <c r="A215" s="3"/>
      <c r="B215" s="3"/>
      <c r="C215" s="3"/>
      <c r="D215" s="3"/>
      <c r="E215" s="3">
        <f t="shared" si="9"/>
        <v>205</v>
      </c>
      <c r="F215" s="4" t="s">
        <v>242</v>
      </c>
      <c r="G215" s="34">
        <f t="shared" si="7"/>
        <v>0</v>
      </c>
      <c r="H215" s="3"/>
      <c r="I215" s="4" t="s">
        <v>6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25">
      <c r="A216" s="3"/>
      <c r="B216" s="3"/>
      <c r="C216" s="3"/>
      <c r="D216" s="3"/>
      <c r="E216" s="3">
        <f t="shared" si="9"/>
        <v>206</v>
      </c>
      <c r="F216" s="4" t="s">
        <v>244</v>
      </c>
      <c r="G216" s="34">
        <f t="shared" si="7"/>
        <v>0</v>
      </c>
      <c r="H216" s="3"/>
      <c r="I216" s="4" t="s">
        <v>13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5">
      <c r="A217" s="3"/>
      <c r="B217" s="3"/>
      <c r="C217" s="3"/>
      <c r="D217" s="3"/>
      <c r="E217" s="3">
        <f t="shared" si="9"/>
        <v>207</v>
      </c>
      <c r="F217" s="4" t="s">
        <v>245</v>
      </c>
      <c r="G217" s="34">
        <f t="shared" si="7"/>
        <v>0</v>
      </c>
      <c r="H217" s="3"/>
      <c r="I217" s="4" t="s">
        <v>6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25">
      <c r="A218" s="3"/>
      <c r="B218" s="3"/>
      <c r="C218" s="3"/>
      <c r="D218" s="3"/>
      <c r="E218" s="3">
        <f t="shared" si="9"/>
        <v>208</v>
      </c>
      <c r="F218" s="4" t="s">
        <v>246</v>
      </c>
      <c r="G218" s="34">
        <f t="shared" si="7"/>
        <v>0</v>
      </c>
      <c r="H218" s="3"/>
      <c r="I218" s="4" t="s">
        <v>6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x14ac:dyDescent="0.25">
      <c r="A219" s="3"/>
      <c r="B219" s="3"/>
      <c r="C219" s="3"/>
      <c r="D219" s="3"/>
      <c r="E219" s="3">
        <f t="shared" si="9"/>
        <v>209</v>
      </c>
      <c r="F219" s="4" t="s">
        <v>247</v>
      </c>
      <c r="G219" s="34">
        <f t="shared" si="7"/>
        <v>0</v>
      </c>
      <c r="H219" s="3"/>
      <c r="I219" s="4" t="s">
        <v>6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x14ac:dyDescent="0.25">
      <c r="A220" s="3"/>
      <c r="B220" s="3"/>
      <c r="C220" s="3"/>
      <c r="D220" s="3"/>
      <c r="E220" s="3">
        <f t="shared" si="9"/>
        <v>210</v>
      </c>
      <c r="F220" s="4" t="s">
        <v>248</v>
      </c>
      <c r="G220" s="34">
        <f t="shared" si="7"/>
        <v>0</v>
      </c>
      <c r="H220" s="3"/>
      <c r="I220" s="4" t="s">
        <v>6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25">
      <c r="A221" s="3"/>
      <c r="B221" s="3"/>
      <c r="C221" s="3"/>
      <c r="D221" s="3"/>
      <c r="E221" s="3">
        <f t="shared" si="9"/>
        <v>211</v>
      </c>
      <c r="F221" s="4" t="s">
        <v>249</v>
      </c>
      <c r="G221" s="34">
        <f t="shared" si="7"/>
        <v>0</v>
      </c>
      <c r="H221" s="3"/>
      <c r="I221" s="4" t="s">
        <v>6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x14ac:dyDescent="0.25">
      <c r="A222" s="3"/>
      <c r="B222" s="3"/>
      <c r="C222" s="3"/>
      <c r="D222" s="3"/>
      <c r="E222" s="3">
        <f t="shared" si="9"/>
        <v>212</v>
      </c>
      <c r="F222" s="4" t="s">
        <v>250</v>
      </c>
      <c r="G222" s="34">
        <f t="shared" si="7"/>
        <v>0</v>
      </c>
      <c r="H222" s="3"/>
      <c r="I222" s="4" t="s">
        <v>6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x14ac:dyDescent="0.25">
      <c r="A223" s="3"/>
      <c r="B223" s="3"/>
      <c r="C223" s="3"/>
      <c r="D223" s="3"/>
      <c r="E223" s="3">
        <f t="shared" si="9"/>
        <v>213</v>
      </c>
      <c r="F223" s="4" t="s">
        <v>251</v>
      </c>
      <c r="G223" s="34">
        <f t="shared" si="7"/>
        <v>0</v>
      </c>
      <c r="H223" s="3"/>
      <c r="I223" s="4" t="s">
        <v>6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x14ac:dyDescent="0.25">
      <c r="A224" s="3"/>
      <c r="B224" s="3"/>
      <c r="C224" s="3"/>
      <c r="D224" s="3"/>
      <c r="E224" s="3">
        <f t="shared" si="9"/>
        <v>214</v>
      </c>
      <c r="F224" s="4" t="s">
        <v>252</v>
      </c>
      <c r="G224" s="34">
        <f t="shared" si="7"/>
        <v>0</v>
      </c>
      <c r="H224" s="3"/>
      <c r="I224" s="4" t="s">
        <v>6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x14ac:dyDescent="0.25">
      <c r="A225" s="3"/>
      <c r="B225" s="3"/>
      <c r="C225" s="3"/>
      <c r="D225" s="3"/>
      <c r="E225" s="3">
        <f t="shared" si="9"/>
        <v>215</v>
      </c>
      <c r="F225" s="4" t="s">
        <v>253</v>
      </c>
      <c r="G225" s="34">
        <f t="shared" si="7"/>
        <v>0</v>
      </c>
      <c r="H225" s="3"/>
      <c r="I225" s="4" t="s">
        <v>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x14ac:dyDescent="0.25">
      <c r="A226" s="3"/>
      <c r="B226" s="3"/>
      <c r="C226" s="3"/>
      <c r="D226" s="3"/>
      <c r="E226" s="3">
        <f t="shared" si="9"/>
        <v>216</v>
      </c>
      <c r="F226" s="4" t="s">
        <v>254</v>
      </c>
      <c r="G226" s="34">
        <f t="shared" si="7"/>
        <v>0</v>
      </c>
      <c r="H226" s="3"/>
      <c r="I226" s="4" t="s">
        <v>6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x14ac:dyDescent="0.25">
      <c r="A227" s="3"/>
      <c r="B227" s="3"/>
      <c r="C227" s="3"/>
      <c r="D227" s="3"/>
      <c r="E227" s="3">
        <f t="shared" si="9"/>
        <v>217</v>
      </c>
      <c r="F227" s="4" t="s">
        <v>255</v>
      </c>
      <c r="G227" s="34">
        <f t="shared" si="7"/>
        <v>0</v>
      </c>
      <c r="H227" s="3"/>
      <c r="I227" s="4" t="s">
        <v>6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x14ac:dyDescent="0.25">
      <c r="A228" s="3"/>
      <c r="B228" s="3"/>
      <c r="C228" s="3"/>
      <c r="D228" s="3"/>
      <c r="E228" s="3">
        <f t="shared" si="9"/>
        <v>218</v>
      </c>
      <c r="F228" s="4" t="s">
        <v>256</v>
      </c>
      <c r="G228" s="34">
        <f t="shared" si="7"/>
        <v>0</v>
      </c>
      <c r="H228" s="3"/>
      <c r="I228" s="4" t="s">
        <v>6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x14ac:dyDescent="0.25">
      <c r="A229" s="3"/>
      <c r="B229" s="3"/>
      <c r="C229" s="3"/>
      <c r="D229" s="3"/>
      <c r="E229" s="3">
        <f t="shared" si="9"/>
        <v>219</v>
      </c>
      <c r="F229" s="4" t="s">
        <v>257</v>
      </c>
      <c r="G229" s="34">
        <f t="shared" si="7"/>
        <v>0</v>
      </c>
      <c r="H229" s="3"/>
      <c r="I229" s="4" t="s">
        <v>6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x14ac:dyDescent="0.25">
      <c r="A230" s="3"/>
      <c r="B230" s="3"/>
      <c r="C230" s="3"/>
      <c r="D230" s="3"/>
      <c r="E230" s="3">
        <f t="shared" si="9"/>
        <v>220</v>
      </c>
      <c r="F230" s="4" t="s">
        <v>258</v>
      </c>
      <c r="G230" s="34">
        <f t="shared" si="7"/>
        <v>0</v>
      </c>
      <c r="H230" s="3"/>
      <c r="I230" s="4" t="s">
        <v>6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x14ac:dyDescent="0.25">
      <c r="A231" s="3"/>
      <c r="B231" s="3"/>
      <c r="C231" s="3"/>
      <c r="D231" s="3"/>
      <c r="E231" s="3">
        <f t="shared" si="9"/>
        <v>221</v>
      </c>
      <c r="F231" s="4" t="s">
        <v>259</v>
      </c>
      <c r="G231" s="34">
        <f t="shared" si="7"/>
        <v>0</v>
      </c>
      <c r="H231" s="3"/>
      <c r="I231" s="4" t="s">
        <v>6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x14ac:dyDescent="0.25">
      <c r="A232" s="3"/>
      <c r="B232" s="3"/>
      <c r="C232" s="3"/>
      <c r="D232" s="3"/>
      <c r="E232" s="3">
        <f t="shared" si="9"/>
        <v>222</v>
      </c>
      <c r="F232" s="4" t="s">
        <v>260</v>
      </c>
      <c r="G232" s="34">
        <f t="shared" si="7"/>
        <v>0</v>
      </c>
      <c r="H232" s="3"/>
      <c r="I232" s="4" t="s">
        <v>6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x14ac:dyDescent="0.25">
      <c r="A233" s="3"/>
      <c r="B233" s="3"/>
      <c r="C233" s="3"/>
      <c r="D233" s="3"/>
      <c r="E233" s="3">
        <f t="shared" si="9"/>
        <v>223</v>
      </c>
      <c r="F233" s="4" t="s">
        <v>261</v>
      </c>
      <c r="G233" s="34">
        <f t="shared" si="7"/>
        <v>0</v>
      </c>
      <c r="H233" s="3"/>
      <c r="I233" s="4" t="s">
        <v>6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x14ac:dyDescent="0.25">
      <c r="A234" s="3"/>
      <c r="B234" s="3"/>
      <c r="C234" s="3"/>
      <c r="D234" s="3"/>
      <c r="E234" s="3">
        <f t="shared" si="9"/>
        <v>224</v>
      </c>
      <c r="F234" s="4" t="s">
        <v>262</v>
      </c>
      <c r="G234" s="34">
        <f t="shared" si="7"/>
        <v>0</v>
      </c>
      <c r="H234" s="3"/>
      <c r="I234" s="4" t="s">
        <v>6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x14ac:dyDescent="0.25">
      <c r="A235" s="3"/>
      <c r="B235" s="3"/>
      <c r="C235" s="3"/>
      <c r="D235" s="3"/>
      <c r="E235" s="3">
        <f t="shared" si="9"/>
        <v>225</v>
      </c>
      <c r="F235" s="4" t="s">
        <v>263</v>
      </c>
      <c r="G235" s="34">
        <f t="shared" si="7"/>
        <v>0</v>
      </c>
      <c r="H235" s="3"/>
      <c r="I235" s="4" t="s">
        <v>6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x14ac:dyDescent="0.25">
      <c r="A236" s="3"/>
      <c r="B236" s="3"/>
      <c r="C236" s="3"/>
      <c r="D236" s="3"/>
      <c r="E236" s="3">
        <f t="shared" si="9"/>
        <v>226</v>
      </c>
      <c r="F236" s="4" t="s">
        <v>264</v>
      </c>
      <c r="G236" s="34">
        <f t="shared" si="7"/>
        <v>0</v>
      </c>
      <c r="H236" s="3"/>
      <c r="I236" s="4" t="s">
        <v>6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x14ac:dyDescent="0.25">
      <c r="A237" s="3"/>
      <c r="B237" s="3"/>
      <c r="C237" s="3"/>
      <c r="D237" s="3"/>
      <c r="E237" s="3">
        <f t="shared" si="9"/>
        <v>227</v>
      </c>
      <c r="F237" s="4" t="s">
        <v>265</v>
      </c>
      <c r="G237" s="34">
        <f t="shared" si="7"/>
        <v>0</v>
      </c>
      <c r="H237" s="3"/>
      <c r="I237" s="4" t="s">
        <v>11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x14ac:dyDescent="0.25">
      <c r="A238" s="3"/>
      <c r="B238" s="3"/>
      <c r="C238" s="3"/>
      <c r="D238" s="3"/>
      <c r="E238" s="3">
        <f t="shared" si="9"/>
        <v>228</v>
      </c>
      <c r="F238" s="4" t="s">
        <v>266</v>
      </c>
      <c r="G238" s="34">
        <f t="shared" si="7"/>
        <v>0</v>
      </c>
      <c r="H238" s="3"/>
      <c r="I238" s="4" t="s">
        <v>11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x14ac:dyDescent="0.25">
      <c r="A239" s="3"/>
      <c r="B239" s="3"/>
      <c r="C239" s="3"/>
      <c r="D239" s="3"/>
      <c r="E239" s="3">
        <f t="shared" si="9"/>
        <v>229</v>
      </c>
      <c r="F239" s="4" t="s">
        <v>267</v>
      </c>
      <c r="G239" s="34">
        <f t="shared" si="7"/>
        <v>0</v>
      </c>
      <c r="H239" s="3"/>
      <c r="I239" s="4" t="s">
        <v>11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x14ac:dyDescent="0.25">
      <c r="A240" s="3"/>
      <c r="B240" s="3"/>
      <c r="C240" s="3"/>
      <c r="D240" s="3"/>
      <c r="E240" s="3">
        <f t="shared" si="9"/>
        <v>230</v>
      </c>
      <c r="F240" s="4" t="s">
        <v>268</v>
      </c>
      <c r="G240" s="34">
        <f t="shared" si="7"/>
        <v>0</v>
      </c>
      <c r="H240" s="3"/>
      <c r="I240" s="4" t="s">
        <v>6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x14ac:dyDescent="0.25">
      <c r="A241" s="3"/>
      <c r="B241" s="3"/>
      <c r="C241" s="3"/>
      <c r="D241" s="3"/>
      <c r="E241" s="3">
        <f t="shared" si="9"/>
        <v>231</v>
      </c>
      <c r="F241" s="4" t="s">
        <v>269</v>
      </c>
      <c r="G241" s="34">
        <f t="shared" si="7"/>
        <v>0</v>
      </c>
      <c r="H241" s="3"/>
      <c r="I241" s="4" t="s">
        <v>6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x14ac:dyDescent="0.25">
      <c r="A242" s="3"/>
      <c r="B242" s="3"/>
      <c r="C242" s="3"/>
      <c r="D242" s="3"/>
      <c r="E242" s="3">
        <f t="shared" si="9"/>
        <v>232</v>
      </c>
      <c r="F242" s="4" t="s">
        <v>270</v>
      </c>
      <c r="G242" s="34">
        <f t="shared" si="7"/>
        <v>0</v>
      </c>
      <c r="H242" s="3"/>
      <c r="I242" s="4" t="s">
        <v>6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x14ac:dyDescent="0.25">
      <c r="A243" s="3"/>
      <c r="B243" s="3"/>
      <c r="C243" s="3"/>
      <c r="D243" s="3"/>
      <c r="E243" s="3">
        <f t="shared" si="9"/>
        <v>233</v>
      </c>
      <c r="F243" s="4" t="s">
        <v>271</v>
      </c>
      <c r="G243" s="34">
        <f t="shared" si="7"/>
        <v>0</v>
      </c>
      <c r="H243" s="3"/>
      <c r="I243" s="4" t="s">
        <v>6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x14ac:dyDescent="0.25">
      <c r="A244" s="3"/>
      <c r="B244" s="3"/>
      <c r="C244" s="3"/>
      <c r="D244" s="3"/>
      <c r="E244" s="3">
        <f t="shared" si="9"/>
        <v>234</v>
      </c>
      <c r="F244" s="4" t="s">
        <v>272</v>
      </c>
      <c r="G244" s="34">
        <f t="shared" si="7"/>
        <v>0</v>
      </c>
      <c r="H244" s="3"/>
      <c r="I244" s="4" t="s">
        <v>6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x14ac:dyDescent="0.25">
      <c r="A245" s="3"/>
      <c r="B245" s="3"/>
      <c r="C245" s="3"/>
      <c r="D245" s="3"/>
      <c r="E245" s="3">
        <f t="shared" si="9"/>
        <v>235</v>
      </c>
      <c r="F245" s="4" t="s">
        <v>273</v>
      </c>
      <c r="G245" s="34">
        <f t="shared" si="7"/>
        <v>0</v>
      </c>
      <c r="H245" s="3"/>
      <c r="I245" s="4" t="s">
        <v>6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x14ac:dyDescent="0.25">
      <c r="A246" s="3"/>
      <c r="B246" s="3"/>
      <c r="C246" s="3"/>
      <c r="D246" s="3"/>
      <c r="E246" s="3">
        <f t="shared" si="9"/>
        <v>236</v>
      </c>
      <c r="F246" s="4" t="s">
        <v>274</v>
      </c>
      <c r="G246" s="34">
        <f t="shared" si="7"/>
        <v>0</v>
      </c>
      <c r="H246" s="3"/>
      <c r="I246" s="4" t="s">
        <v>6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x14ac:dyDescent="0.25">
      <c r="A247" s="3"/>
      <c r="B247" s="3"/>
      <c r="C247" s="3"/>
      <c r="D247" s="3"/>
      <c r="E247" s="3">
        <f t="shared" si="9"/>
        <v>237</v>
      </c>
      <c r="F247" s="4" t="s">
        <v>275</v>
      </c>
      <c r="G247" s="34">
        <f t="shared" si="7"/>
        <v>0</v>
      </c>
      <c r="H247" s="3"/>
      <c r="I247" s="4" t="s">
        <v>6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x14ac:dyDescent="0.25">
      <c r="A248" s="3"/>
      <c r="B248" s="3"/>
      <c r="C248" s="3"/>
      <c r="D248" s="3"/>
      <c r="E248" s="3">
        <f t="shared" si="9"/>
        <v>238</v>
      </c>
      <c r="F248" s="4" t="s">
        <v>276</v>
      </c>
      <c r="G248" s="34">
        <f t="shared" si="7"/>
        <v>0</v>
      </c>
      <c r="H248" s="3"/>
      <c r="I248" s="4" t="s">
        <v>6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x14ac:dyDescent="0.25">
      <c r="A249" s="3"/>
      <c r="B249" s="3"/>
      <c r="C249" s="3"/>
      <c r="D249" s="3"/>
      <c r="E249" s="3">
        <f t="shared" si="9"/>
        <v>239</v>
      </c>
      <c r="F249" s="4" t="s">
        <v>277</v>
      </c>
      <c r="G249" s="34">
        <f t="shared" si="7"/>
        <v>0</v>
      </c>
      <c r="H249" s="3"/>
      <c r="I249" s="4" t="s">
        <v>6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x14ac:dyDescent="0.25">
      <c r="A250" s="3"/>
      <c r="B250" s="3"/>
      <c r="C250" s="3"/>
      <c r="D250" s="3"/>
      <c r="E250" s="3">
        <f t="shared" si="9"/>
        <v>240</v>
      </c>
      <c r="F250" s="4" t="s">
        <v>283</v>
      </c>
      <c r="G250" s="34">
        <f t="shared" si="7"/>
        <v>0</v>
      </c>
      <c r="H250" s="3"/>
      <c r="I250" s="4" t="s">
        <v>6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x14ac:dyDescent="0.25">
      <c r="A251" s="3"/>
      <c r="B251" s="3"/>
      <c r="C251" s="3"/>
      <c r="D251" s="3"/>
      <c r="E251" s="3">
        <f t="shared" si="9"/>
        <v>241</v>
      </c>
      <c r="F251" s="4" t="s">
        <v>279</v>
      </c>
      <c r="G251" s="34">
        <f t="shared" si="7"/>
        <v>0</v>
      </c>
      <c r="H251" s="3"/>
      <c r="I251" s="4" t="s">
        <v>11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x14ac:dyDescent="0.25">
      <c r="A252" s="3"/>
      <c r="B252" s="3"/>
      <c r="C252" s="3"/>
      <c r="D252" s="3"/>
      <c r="E252" s="3">
        <f t="shared" si="9"/>
        <v>242</v>
      </c>
      <c r="F252" s="4" t="s">
        <v>280</v>
      </c>
      <c r="G252" s="34">
        <f t="shared" si="7"/>
        <v>0</v>
      </c>
      <c r="H252" s="3"/>
      <c r="I252" s="4" t="s">
        <v>6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x14ac:dyDescent="0.25">
      <c r="A253" s="3"/>
      <c r="B253" s="3"/>
      <c r="C253" s="3"/>
      <c r="D253" s="3"/>
      <c r="E253" s="3">
        <f t="shared" si="9"/>
        <v>243</v>
      </c>
      <c r="F253" s="4" t="s">
        <v>281</v>
      </c>
      <c r="G253" s="34">
        <f t="shared" si="7"/>
        <v>0</v>
      </c>
      <c r="H253" s="3"/>
      <c r="I253" s="4" t="s">
        <v>6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x14ac:dyDescent="0.25">
      <c r="A254" s="3"/>
      <c r="B254" s="3"/>
      <c r="C254" s="3"/>
      <c r="D254" s="3"/>
      <c r="E254" s="3">
        <f t="shared" si="9"/>
        <v>244</v>
      </c>
      <c r="F254" s="4" t="s">
        <v>282</v>
      </c>
      <c r="G254" s="34">
        <f t="shared" si="7"/>
        <v>0</v>
      </c>
      <c r="H254" s="3"/>
      <c r="I254" s="4" t="s">
        <v>6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x14ac:dyDescent="0.25">
      <c r="A255" s="3"/>
      <c r="B255" s="3"/>
      <c r="C255" s="3"/>
      <c r="D255" s="3"/>
      <c r="E255" s="3">
        <f t="shared" si="9"/>
        <v>245</v>
      </c>
      <c r="F255" s="4" t="s">
        <v>302</v>
      </c>
      <c r="G255" s="34">
        <f t="shared" si="7"/>
        <v>0</v>
      </c>
      <c r="H255" s="3"/>
      <c r="I255" s="4" t="s">
        <v>6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x14ac:dyDescent="0.25">
      <c r="A256" s="3"/>
      <c r="B256" s="3"/>
      <c r="C256" s="3"/>
      <c r="D256" s="3"/>
      <c r="E256" s="3">
        <f t="shared" si="9"/>
        <v>246</v>
      </c>
      <c r="F256" s="4" t="s">
        <v>284</v>
      </c>
      <c r="G256" s="34">
        <f t="shared" si="7"/>
        <v>0</v>
      </c>
      <c r="H256" s="3"/>
      <c r="I256" s="4" t="s">
        <v>6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x14ac:dyDescent="0.25">
      <c r="A257" s="3"/>
      <c r="B257" s="3"/>
      <c r="C257" s="3"/>
      <c r="D257" s="3"/>
      <c r="E257" s="3">
        <f t="shared" si="9"/>
        <v>247</v>
      </c>
      <c r="F257" s="4" t="s">
        <v>285</v>
      </c>
      <c r="G257" s="34">
        <f t="shared" si="7"/>
        <v>0</v>
      </c>
      <c r="H257" s="3"/>
      <c r="I257" s="4" t="s">
        <v>12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x14ac:dyDescent="0.25">
      <c r="A258" s="3"/>
      <c r="B258" s="3"/>
      <c r="C258" s="3"/>
      <c r="D258" s="3"/>
      <c r="E258" s="3">
        <f t="shared" si="9"/>
        <v>248</v>
      </c>
      <c r="F258" s="4" t="s">
        <v>286</v>
      </c>
      <c r="G258" s="34">
        <f t="shared" si="7"/>
        <v>0</v>
      </c>
      <c r="H258" s="3"/>
      <c r="I258" s="4" t="s">
        <v>6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x14ac:dyDescent="0.25">
      <c r="A259" s="3"/>
      <c r="B259" s="3"/>
      <c r="C259" s="3"/>
      <c r="D259" s="3"/>
      <c r="E259" s="3">
        <f t="shared" si="9"/>
        <v>249</v>
      </c>
      <c r="F259" s="4" t="s">
        <v>287</v>
      </c>
      <c r="G259" s="34">
        <f t="shared" si="7"/>
        <v>0</v>
      </c>
      <c r="H259" s="3"/>
      <c r="I259" s="4" t="s">
        <v>6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x14ac:dyDescent="0.25">
      <c r="A260" s="3"/>
      <c r="B260" s="3"/>
      <c r="C260" s="3"/>
      <c r="D260" s="3"/>
      <c r="E260" s="3">
        <f t="shared" si="9"/>
        <v>250</v>
      </c>
      <c r="F260" s="4" t="s">
        <v>288</v>
      </c>
      <c r="G260" s="34">
        <f t="shared" si="7"/>
        <v>0</v>
      </c>
      <c r="H260" s="3"/>
      <c r="I260" s="4" t="s">
        <v>6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x14ac:dyDescent="0.25">
      <c r="A261" s="3"/>
      <c r="B261" s="3"/>
      <c r="C261" s="3"/>
      <c r="D261" s="3"/>
      <c r="E261" s="3">
        <f t="shared" si="9"/>
        <v>251</v>
      </c>
      <c r="F261" s="4" t="s">
        <v>289</v>
      </c>
      <c r="G261" s="34">
        <f t="shared" si="7"/>
        <v>0</v>
      </c>
      <c r="H261" s="3"/>
      <c r="I261" s="4" t="s">
        <v>11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x14ac:dyDescent="0.25">
      <c r="A262" s="3"/>
      <c r="B262" s="3"/>
      <c r="C262" s="3"/>
      <c r="D262" s="3"/>
      <c r="E262" s="3">
        <f t="shared" si="9"/>
        <v>252</v>
      </c>
      <c r="F262" s="4" t="s">
        <v>290</v>
      </c>
      <c r="G262" s="34">
        <f t="shared" si="7"/>
        <v>0</v>
      </c>
      <c r="H262" s="3"/>
      <c r="I262" s="4" t="s">
        <v>6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x14ac:dyDescent="0.25">
      <c r="A263" s="3"/>
      <c r="B263" s="3"/>
      <c r="C263" s="3"/>
      <c r="D263" s="3"/>
      <c r="E263" s="3">
        <f t="shared" si="9"/>
        <v>253</v>
      </c>
      <c r="F263" s="4" t="s">
        <v>291</v>
      </c>
      <c r="G263" s="34">
        <f t="shared" si="7"/>
        <v>0</v>
      </c>
      <c r="H263" s="3"/>
      <c r="I263" s="4" t="s">
        <v>11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x14ac:dyDescent="0.25">
      <c r="A264" s="3"/>
      <c r="B264" s="3"/>
      <c r="C264" s="3"/>
      <c r="D264" s="3"/>
      <c r="E264" s="3">
        <f t="shared" si="9"/>
        <v>254</v>
      </c>
      <c r="F264" s="4" t="s">
        <v>293</v>
      </c>
      <c r="G264" s="34">
        <f t="shared" si="7"/>
        <v>0</v>
      </c>
      <c r="H264" s="3"/>
      <c r="I264" s="4" t="s">
        <v>6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x14ac:dyDescent="0.25">
      <c r="A265" s="3"/>
      <c r="B265" s="3"/>
      <c r="C265" s="3"/>
      <c r="D265" s="3"/>
      <c r="E265" s="3">
        <f t="shared" si="9"/>
        <v>255</v>
      </c>
      <c r="F265" s="4" t="s">
        <v>294</v>
      </c>
      <c r="G265" s="34">
        <f t="shared" si="7"/>
        <v>0</v>
      </c>
      <c r="H265" s="3"/>
      <c r="I265" s="4" t="s">
        <v>11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x14ac:dyDescent="0.25">
      <c r="A266" s="3"/>
      <c r="B266" s="3"/>
      <c r="C266" s="3"/>
      <c r="D266" s="3"/>
      <c r="E266" s="3">
        <f t="shared" si="9"/>
        <v>256</v>
      </c>
      <c r="F266" s="4" t="s">
        <v>295</v>
      </c>
      <c r="G266" s="34">
        <f t="shared" si="7"/>
        <v>0</v>
      </c>
      <c r="H266" s="3"/>
      <c r="I266" s="4" t="s">
        <v>11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x14ac:dyDescent="0.25">
      <c r="A267" s="3"/>
      <c r="B267" s="3"/>
      <c r="C267" s="3"/>
      <c r="D267" s="3"/>
      <c r="E267" s="3">
        <f t="shared" si="9"/>
        <v>257</v>
      </c>
      <c r="F267" s="4" t="s">
        <v>296</v>
      </c>
      <c r="G267" s="34">
        <f t="shared" ref="G267:G275" si="10">IF(F267="","",IF(COUNTIF(F:F,F267)&lt;&gt;1,1,0))</f>
        <v>0</v>
      </c>
      <c r="H267" s="3"/>
      <c r="I267" s="4" t="s">
        <v>6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x14ac:dyDescent="0.25">
      <c r="A268" s="3"/>
      <c r="B268" s="3"/>
      <c r="C268" s="3"/>
      <c r="D268" s="3"/>
      <c r="E268" s="3">
        <f t="shared" si="9"/>
        <v>258</v>
      </c>
      <c r="F268" s="4" t="s">
        <v>303</v>
      </c>
      <c r="G268" s="34">
        <f t="shared" si="10"/>
        <v>0</v>
      </c>
      <c r="H268" s="3"/>
      <c r="I268" s="4" t="s">
        <v>6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x14ac:dyDescent="0.25">
      <c r="A269" s="3"/>
      <c r="B269" s="3"/>
      <c r="C269" s="3"/>
      <c r="D269" s="3"/>
      <c r="E269" s="3">
        <f t="shared" si="9"/>
        <v>259</v>
      </c>
      <c r="F269" s="4" t="s">
        <v>304</v>
      </c>
      <c r="G269" s="34">
        <f t="shared" si="10"/>
        <v>0</v>
      </c>
      <c r="H269" s="3"/>
      <c r="I269" s="4" t="s">
        <v>11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x14ac:dyDescent="0.25">
      <c r="A270" s="3"/>
      <c r="B270" s="3"/>
      <c r="C270" s="3"/>
      <c r="D270" s="3"/>
      <c r="E270" s="3">
        <f t="shared" si="9"/>
        <v>260</v>
      </c>
      <c r="F270" s="4" t="s">
        <v>307</v>
      </c>
      <c r="G270" s="34">
        <f t="shared" si="10"/>
        <v>0</v>
      </c>
      <c r="H270" s="3"/>
      <c r="I270" s="4" t="s">
        <v>11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x14ac:dyDescent="0.25">
      <c r="A271" s="3"/>
      <c r="B271" s="3"/>
      <c r="C271" s="3"/>
      <c r="D271" s="3"/>
      <c r="E271" s="3">
        <f t="shared" si="9"/>
        <v>261</v>
      </c>
      <c r="F271" s="4" t="s">
        <v>306</v>
      </c>
      <c r="G271" s="34">
        <f t="shared" si="10"/>
        <v>0</v>
      </c>
      <c r="H271" s="3"/>
      <c r="I271" s="4" t="s">
        <v>11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x14ac:dyDescent="0.25">
      <c r="A272" s="3"/>
      <c r="B272" s="3"/>
      <c r="C272" s="3"/>
      <c r="D272" s="3"/>
      <c r="E272" s="3">
        <f t="shared" si="9"/>
        <v>262</v>
      </c>
      <c r="F272" s="4" t="s">
        <v>309</v>
      </c>
      <c r="G272" s="34">
        <f t="shared" si="10"/>
        <v>0</v>
      </c>
      <c r="H272" s="3"/>
      <c r="I272" s="4" t="s">
        <v>6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x14ac:dyDescent="0.25">
      <c r="A273" s="3"/>
      <c r="B273" s="3"/>
      <c r="C273" s="3"/>
      <c r="D273" s="3"/>
      <c r="E273" s="3">
        <f t="shared" si="9"/>
        <v>263</v>
      </c>
      <c r="F273" s="4"/>
      <c r="G273" s="34" t="str">
        <f t="shared" si="10"/>
        <v/>
      </c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x14ac:dyDescent="0.25">
      <c r="A274" s="3"/>
      <c r="B274" s="3"/>
      <c r="C274" s="3"/>
      <c r="D274" s="3"/>
      <c r="E274" s="3">
        <f t="shared" ref="E274:E275" si="11">E273+1</f>
        <v>264</v>
      </c>
      <c r="F274" s="4"/>
      <c r="G274" s="34" t="str">
        <f t="shared" si="10"/>
        <v/>
      </c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x14ac:dyDescent="0.25">
      <c r="A275" s="3"/>
      <c r="B275" s="3"/>
      <c r="C275" s="3"/>
      <c r="D275" s="3"/>
      <c r="E275" s="3">
        <f t="shared" si="11"/>
        <v>265</v>
      </c>
      <c r="F275" s="4"/>
      <c r="G275" s="34" t="str">
        <f t="shared" si="10"/>
        <v/>
      </c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x14ac:dyDescent="0.25">
      <c r="A276" s="3"/>
      <c r="B276" s="3"/>
      <c r="C276" s="3"/>
      <c r="D276" s="3"/>
      <c r="E276" s="3"/>
      <c r="F276" s="3"/>
      <c r="G276" s="3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x14ac:dyDescent="0.25">
      <c r="A277" s="3"/>
      <c r="B277" s="3"/>
      <c r="C277" s="3"/>
      <c r="D277" s="3"/>
      <c r="E277" s="3"/>
      <c r="F277" s="3"/>
      <c r="G277" s="3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x14ac:dyDescent="0.25">
      <c r="A278" s="3"/>
      <c r="B278" s="3"/>
      <c r="C278" s="3"/>
      <c r="D278" s="3"/>
      <c r="E278" s="3"/>
      <c r="F278" s="3"/>
      <c r="G278" s="3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x14ac:dyDescent="0.25">
      <c r="A279" s="3"/>
      <c r="B279" s="3"/>
      <c r="C279" s="3"/>
      <c r="D279" s="3"/>
      <c r="E279" s="3"/>
      <c r="F279" s="3"/>
      <c r="G279" s="3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x14ac:dyDescent="0.25">
      <c r="A280" s="3"/>
      <c r="B280" s="3"/>
      <c r="C280" s="3"/>
      <c r="D280" s="3"/>
      <c r="E280" s="3"/>
      <c r="F280" s="3"/>
      <c r="G280" s="3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x14ac:dyDescent="0.25">
      <c r="A281" s="3"/>
      <c r="B281" s="3"/>
      <c r="C281" s="3"/>
      <c r="D281" s="3"/>
      <c r="E281" s="3"/>
      <c r="F281" s="3"/>
      <c r="G281" s="3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x14ac:dyDescent="0.25">
      <c r="A282" s="3"/>
      <c r="B282" s="3"/>
      <c r="C282" s="3"/>
      <c r="D282" s="3"/>
      <c r="E282" s="3"/>
      <c r="F282" s="3"/>
      <c r="G282" s="3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x14ac:dyDescent="0.25">
      <c r="A283" s="3"/>
      <c r="B283" s="3"/>
      <c r="C283" s="3"/>
      <c r="D283" s="3"/>
      <c r="E283" s="3"/>
      <c r="F283" s="3"/>
      <c r="G283" s="3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x14ac:dyDescent="0.25">
      <c r="A284" s="3"/>
      <c r="B284" s="3"/>
      <c r="C284" s="3"/>
      <c r="D284" s="3"/>
      <c r="E284" s="3"/>
      <c r="F284" s="3"/>
      <c r="G284" s="3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x14ac:dyDescent="0.25">
      <c r="A285" s="3"/>
      <c r="B285" s="3"/>
      <c r="C285" s="3"/>
      <c r="D285" s="3"/>
      <c r="E285" s="3"/>
      <c r="F285" s="3"/>
      <c r="G285" s="3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x14ac:dyDescent="0.25">
      <c r="A286" s="3"/>
      <c r="B286" s="3"/>
      <c r="C286" s="3"/>
      <c r="D286" s="3"/>
      <c r="E286" s="3"/>
      <c r="F286" s="3"/>
      <c r="G286" s="3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x14ac:dyDescent="0.25">
      <c r="A287" s="3"/>
      <c r="B287" s="3"/>
      <c r="C287" s="3"/>
      <c r="D287" s="3"/>
      <c r="E287" s="3"/>
      <c r="F287" s="3"/>
      <c r="G287" s="3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x14ac:dyDescent="0.25">
      <c r="A288" s="3"/>
      <c r="B288" s="3"/>
      <c r="C288" s="3"/>
      <c r="D288" s="3"/>
      <c r="E288" s="3"/>
      <c r="F288" s="3"/>
      <c r="G288" s="3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x14ac:dyDescent="0.25">
      <c r="A289" s="3"/>
      <c r="B289" s="3"/>
      <c r="C289" s="3"/>
      <c r="D289" s="3"/>
      <c r="E289" s="3"/>
      <c r="F289" s="3"/>
      <c r="G289" s="3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x14ac:dyDescent="0.25">
      <c r="A290" s="3"/>
      <c r="B290" s="3"/>
      <c r="C290" s="3"/>
      <c r="D290" s="3"/>
      <c r="E290" s="3"/>
      <c r="F290" s="3"/>
      <c r="G290" s="3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x14ac:dyDescent="0.25">
      <c r="A291" s="3"/>
      <c r="B291" s="3"/>
      <c r="C291" s="3"/>
      <c r="D291" s="3"/>
      <c r="E291" s="3"/>
      <c r="F291" s="3"/>
      <c r="G291" s="3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x14ac:dyDescent="0.25">
      <c r="A292" s="3"/>
      <c r="B292" s="3"/>
      <c r="C292" s="3"/>
      <c r="D292" s="3"/>
      <c r="E292" s="3"/>
      <c r="F292" s="3"/>
      <c r="G292" s="3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x14ac:dyDescent="0.25">
      <c r="A293" s="3"/>
      <c r="B293" s="3"/>
      <c r="C293" s="3"/>
      <c r="D293" s="3"/>
      <c r="E293" s="3"/>
      <c r="F293" s="3"/>
      <c r="G293" s="3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x14ac:dyDescent="0.25">
      <c r="A294" s="3"/>
      <c r="B294" s="3"/>
      <c r="C294" s="3"/>
      <c r="D294" s="3"/>
      <c r="E294" s="3"/>
      <c r="F294" s="3"/>
      <c r="G294" s="3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x14ac:dyDescent="0.25">
      <c r="A295" s="3"/>
      <c r="B295" s="3"/>
      <c r="C295" s="3"/>
      <c r="D295" s="3"/>
      <c r="E295" s="3"/>
      <c r="F295" s="3"/>
      <c r="G295" s="3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x14ac:dyDescent="0.25">
      <c r="A296" s="3"/>
      <c r="B296" s="3"/>
      <c r="C296" s="3"/>
      <c r="D296" s="3"/>
      <c r="E296" s="3"/>
      <c r="F296" s="3"/>
      <c r="G296" s="3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x14ac:dyDescent="0.25">
      <c r="A297" s="3"/>
      <c r="B297" s="3"/>
      <c r="C297" s="3"/>
      <c r="D297" s="3"/>
      <c r="E297" s="3"/>
      <c r="F297" s="3"/>
      <c r="G297" s="3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x14ac:dyDescent="0.25">
      <c r="A298" s="3"/>
      <c r="B298" s="3"/>
      <c r="C298" s="3"/>
      <c r="D298" s="3"/>
      <c r="E298" s="3"/>
      <c r="F298" s="3"/>
      <c r="G298" s="3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x14ac:dyDescent="0.25">
      <c r="A299" s="3"/>
      <c r="B299" s="3"/>
      <c r="C299" s="3"/>
      <c r="D299" s="3"/>
      <c r="E299" s="3"/>
      <c r="F299" s="3"/>
      <c r="G299" s="3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x14ac:dyDescent="0.25">
      <c r="A300" s="3"/>
      <c r="B300" s="3"/>
      <c r="C300" s="3"/>
      <c r="D300" s="3"/>
      <c r="E300" s="3"/>
      <c r="F300" s="3"/>
      <c r="G300" s="3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x14ac:dyDescent="0.25">
      <c r="A301" s="3"/>
      <c r="B301" s="3"/>
      <c r="C301" s="3"/>
      <c r="D301" s="3"/>
      <c r="E301" s="3"/>
      <c r="F301" s="3"/>
      <c r="G301" s="3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x14ac:dyDescent="0.25">
      <c r="A302" s="3"/>
      <c r="B302" s="3"/>
      <c r="C302" s="3"/>
      <c r="D302" s="3"/>
      <c r="E302" s="3"/>
      <c r="F302" s="3"/>
      <c r="G302" s="3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x14ac:dyDescent="0.25">
      <c r="A303" s="3"/>
      <c r="B303" s="3"/>
      <c r="C303" s="3"/>
      <c r="D303" s="3"/>
      <c r="E303" s="3"/>
      <c r="F303" s="3"/>
      <c r="G303" s="3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x14ac:dyDescent="0.25">
      <c r="A304" s="3"/>
      <c r="B304" s="3"/>
      <c r="C304" s="3"/>
      <c r="D304" s="3"/>
      <c r="E304" s="3"/>
      <c r="F304" s="3"/>
      <c r="G304" s="3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x14ac:dyDescent="0.25">
      <c r="A305" s="3"/>
      <c r="B305" s="3"/>
      <c r="C305" s="3"/>
      <c r="D305" s="3"/>
      <c r="E305" s="3"/>
      <c r="F305" s="3"/>
      <c r="G305" s="3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x14ac:dyDescent="0.25">
      <c r="A306" s="3"/>
      <c r="B306" s="3"/>
      <c r="C306" s="3"/>
      <c r="D306" s="3"/>
      <c r="E306" s="3"/>
      <c r="F306" s="3"/>
      <c r="G306" s="3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x14ac:dyDescent="0.25">
      <c r="A307" s="3"/>
      <c r="B307" s="3"/>
      <c r="C307" s="3"/>
      <c r="D307" s="3"/>
      <c r="E307" s="3"/>
      <c r="F307" s="3"/>
      <c r="G307" s="3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x14ac:dyDescent="0.25">
      <c r="A308" s="3"/>
      <c r="B308" s="3"/>
      <c r="C308" s="3"/>
      <c r="D308" s="3"/>
      <c r="E308" s="3"/>
      <c r="F308" s="3"/>
      <c r="G308" s="3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x14ac:dyDescent="0.25">
      <c r="A309" s="3"/>
      <c r="B309" s="3"/>
      <c r="C309" s="3"/>
      <c r="D309" s="3"/>
      <c r="E309" s="3"/>
      <c r="F309" s="3"/>
      <c r="G309" s="3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x14ac:dyDescent="0.25">
      <c r="A310" s="3"/>
      <c r="B310" s="3"/>
      <c r="C310" s="3"/>
      <c r="D310" s="3"/>
      <c r="E310" s="3"/>
      <c r="F310" s="3"/>
      <c r="G310" s="3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</sheetData>
  <conditionalFormatting sqref="I185:I197">
    <cfRule type="containsBlanks" dxfId="391" priority="677">
      <formula>LEN(TRIM(I185))=0</formula>
    </cfRule>
  </conditionalFormatting>
  <conditionalFormatting sqref="F9 F11:F32 F275">
    <cfRule type="containsBlanks" dxfId="390" priority="676">
      <formula>LEN(TRIM(F9))=0</formula>
    </cfRule>
  </conditionalFormatting>
  <conditionalFormatting sqref="I9 I275 I11:I33">
    <cfRule type="containsBlanks" dxfId="389" priority="674">
      <formula>LEN(TRIM(I9))=0</formula>
    </cfRule>
  </conditionalFormatting>
  <conditionalFormatting sqref="C7:F7">
    <cfRule type="cellIs" dxfId="388" priority="673" operator="equal">
      <formula>0</formula>
    </cfRule>
  </conditionalFormatting>
  <conditionalFormatting sqref="F33:F34">
    <cfRule type="containsBlanks" dxfId="387" priority="672">
      <formula>LEN(TRIM(F33))=0</formula>
    </cfRule>
  </conditionalFormatting>
  <conditionalFormatting sqref="F39">
    <cfRule type="containsBlanks" dxfId="386" priority="666">
      <formula>LEN(TRIM(F39))=0</formula>
    </cfRule>
  </conditionalFormatting>
  <conditionalFormatting sqref="I39:I40">
    <cfRule type="containsBlanks" dxfId="385" priority="665">
      <formula>LEN(TRIM(I39))=0</formula>
    </cfRule>
  </conditionalFormatting>
  <conditionalFormatting sqref="I37:I38">
    <cfRule type="containsBlanks" dxfId="384" priority="667">
      <formula>LEN(TRIM(I37))=0</formula>
    </cfRule>
  </conditionalFormatting>
  <conditionalFormatting sqref="F37:F38">
    <cfRule type="containsBlanks" dxfId="383" priority="668">
      <formula>LEN(TRIM(F37))=0</formula>
    </cfRule>
  </conditionalFormatting>
  <conditionalFormatting sqref="F41:F42">
    <cfRule type="containsBlanks" dxfId="382" priority="664">
      <formula>LEN(TRIM(F41))=0</formula>
    </cfRule>
  </conditionalFormatting>
  <conditionalFormatting sqref="I41">
    <cfRule type="containsBlanks" dxfId="381" priority="663">
      <formula>LEN(TRIM(I41))=0</formula>
    </cfRule>
  </conditionalFormatting>
  <conditionalFormatting sqref="F43:F44">
    <cfRule type="containsBlanks" dxfId="380" priority="662">
      <formula>LEN(TRIM(F43))=0</formula>
    </cfRule>
  </conditionalFormatting>
  <conditionalFormatting sqref="I43:I44">
    <cfRule type="containsBlanks" dxfId="379" priority="661">
      <formula>LEN(TRIM(I43))=0</formula>
    </cfRule>
  </conditionalFormatting>
  <conditionalFormatting sqref="F46">
    <cfRule type="containsBlanks" dxfId="378" priority="660">
      <formula>LEN(TRIM(F46))=0</formula>
    </cfRule>
  </conditionalFormatting>
  <conditionalFormatting sqref="I45:I46">
    <cfRule type="containsBlanks" dxfId="377" priority="659">
      <formula>LEN(TRIM(I45))=0</formula>
    </cfRule>
  </conditionalFormatting>
  <conditionalFormatting sqref="I34">
    <cfRule type="containsBlanks" dxfId="376" priority="658">
      <formula>LEN(TRIM(I34))=0</formula>
    </cfRule>
  </conditionalFormatting>
  <conditionalFormatting sqref="F35">
    <cfRule type="containsBlanks" dxfId="375" priority="657">
      <formula>LEN(TRIM(F35))=0</formula>
    </cfRule>
  </conditionalFormatting>
  <conditionalFormatting sqref="F36">
    <cfRule type="containsBlanks" dxfId="374" priority="656">
      <formula>LEN(TRIM(F36))=0</formula>
    </cfRule>
  </conditionalFormatting>
  <conditionalFormatting sqref="I35:I36">
    <cfRule type="containsBlanks" dxfId="373" priority="655">
      <formula>LEN(TRIM(I35))=0</formula>
    </cfRule>
  </conditionalFormatting>
  <conditionalFormatting sqref="F40">
    <cfRule type="containsBlanks" dxfId="372" priority="654">
      <formula>LEN(TRIM(F40))=0</formula>
    </cfRule>
  </conditionalFormatting>
  <conditionalFormatting sqref="I42">
    <cfRule type="containsBlanks" dxfId="371" priority="653">
      <formula>LEN(TRIM(I42))=0</formula>
    </cfRule>
  </conditionalFormatting>
  <conditionalFormatting sqref="F45">
    <cfRule type="containsBlanks" dxfId="370" priority="652">
      <formula>LEN(TRIM(F45))=0</formula>
    </cfRule>
  </conditionalFormatting>
  <conditionalFormatting sqref="F47">
    <cfRule type="containsBlanks" dxfId="369" priority="651">
      <formula>LEN(TRIM(F47))=0</formula>
    </cfRule>
  </conditionalFormatting>
  <conditionalFormatting sqref="I47">
    <cfRule type="containsBlanks" dxfId="368" priority="650">
      <formula>LEN(TRIM(I47))=0</formula>
    </cfRule>
  </conditionalFormatting>
  <conditionalFormatting sqref="F48">
    <cfRule type="containsBlanks" dxfId="367" priority="649">
      <formula>LEN(TRIM(F48))=0</formula>
    </cfRule>
  </conditionalFormatting>
  <conditionalFormatting sqref="I48">
    <cfRule type="containsBlanks" dxfId="366" priority="648">
      <formula>LEN(TRIM(I48))=0</formula>
    </cfRule>
  </conditionalFormatting>
  <conditionalFormatting sqref="F49">
    <cfRule type="containsBlanks" dxfId="365" priority="647">
      <formula>LEN(TRIM(F49))=0</formula>
    </cfRule>
  </conditionalFormatting>
  <conditionalFormatting sqref="I49">
    <cfRule type="containsBlanks" dxfId="364" priority="646">
      <formula>LEN(TRIM(I49))=0</formula>
    </cfRule>
  </conditionalFormatting>
  <conditionalFormatting sqref="F50">
    <cfRule type="containsBlanks" dxfId="363" priority="645">
      <formula>LEN(TRIM(F50))=0</formula>
    </cfRule>
  </conditionalFormatting>
  <conditionalFormatting sqref="I50">
    <cfRule type="containsBlanks" dxfId="362" priority="644">
      <formula>LEN(TRIM(I50))=0</formula>
    </cfRule>
  </conditionalFormatting>
  <conditionalFormatting sqref="F53">
    <cfRule type="containsBlanks" dxfId="361" priority="639">
      <formula>LEN(TRIM(F53))=0</formula>
    </cfRule>
  </conditionalFormatting>
  <conditionalFormatting sqref="I51">
    <cfRule type="containsBlanks" dxfId="360" priority="642">
      <formula>LEN(TRIM(I51))=0</formula>
    </cfRule>
  </conditionalFormatting>
  <conditionalFormatting sqref="F52">
    <cfRule type="containsBlanks" dxfId="359" priority="641">
      <formula>LEN(TRIM(F52))=0</formula>
    </cfRule>
  </conditionalFormatting>
  <conditionalFormatting sqref="I53">
    <cfRule type="containsBlanks" dxfId="358" priority="638">
      <formula>LEN(TRIM(I53))=0</formula>
    </cfRule>
  </conditionalFormatting>
  <conditionalFormatting sqref="F55">
    <cfRule type="containsBlanks" dxfId="357" priority="635">
      <formula>LEN(TRIM(F55))=0</formula>
    </cfRule>
  </conditionalFormatting>
  <conditionalFormatting sqref="I55">
    <cfRule type="containsBlanks" dxfId="356" priority="634">
      <formula>LEN(TRIM(I55))=0</formula>
    </cfRule>
  </conditionalFormatting>
  <conditionalFormatting sqref="I56">
    <cfRule type="containsBlanks" dxfId="355" priority="632">
      <formula>LEN(TRIM(I56))=0</formula>
    </cfRule>
  </conditionalFormatting>
  <conditionalFormatting sqref="I57">
    <cfRule type="containsBlanks" dxfId="354" priority="628">
      <formula>LEN(TRIM(I57))=0</formula>
    </cfRule>
  </conditionalFormatting>
  <conditionalFormatting sqref="I63">
    <cfRule type="containsBlanks" dxfId="353" priority="616">
      <formula>LEN(TRIM(I63))=0</formula>
    </cfRule>
  </conditionalFormatting>
  <conditionalFormatting sqref="I58">
    <cfRule type="containsBlanks" dxfId="352" priority="626">
      <formula>LEN(TRIM(I58))=0</formula>
    </cfRule>
  </conditionalFormatting>
  <conditionalFormatting sqref="I59">
    <cfRule type="containsBlanks" dxfId="351" priority="624">
      <formula>LEN(TRIM(I59))=0</formula>
    </cfRule>
  </conditionalFormatting>
  <conditionalFormatting sqref="I60">
    <cfRule type="containsBlanks" dxfId="350" priority="622">
      <formula>LEN(TRIM(I60))=0</formula>
    </cfRule>
  </conditionalFormatting>
  <conditionalFormatting sqref="F61">
    <cfRule type="containsBlanks" dxfId="349" priority="621">
      <formula>LEN(TRIM(F61))=0</formula>
    </cfRule>
  </conditionalFormatting>
  <conditionalFormatting sqref="I67">
    <cfRule type="containsBlanks" dxfId="348" priority="608">
      <formula>LEN(TRIM(I67))=0</formula>
    </cfRule>
  </conditionalFormatting>
  <conditionalFormatting sqref="F58">
    <cfRule type="containsBlanks" dxfId="347" priority="582">
      <formula>LEN(TRIM(F58))=0</formula>
    </cfRule>
  </conditionalFormatting>
  <conditionalFormatting sqref="I81">
    <cfRule type="containsBlanks" dxfId="346" priority="557">
      <formula>LEN(TRIM(I81))=0</formula>
    </cfRule>
  </conditionalFormatting>
  <conditionalFormatting sqref="F63">
    <cfRule type="containsBlanks" dxfId="345" priority="617">
      <formula>LEN(TRIM(F63))=0</formula>
    </cfRule>
  </conditionalFormatting>
  <conditionalFormatting sqref="I65">
    <cfRule type="containsBlanks" dxfId="344" priority="572">
      <formula>LEN(TRIM(I65))=0</formula>
    </cfRule>
  </conditionalFormatting>
  <conditionalFormatting sqref="F67">
    <cfRule type="containsBlanks" dxfId="343" priority="609">
      <formula>LEN(TRIM(F67))=0</formula>
    </cfRule>
  </conditionalFormatting>
  <conditionalFormatting sqref="F57">
    <cfRule type="containsBlanks" dxfId="342" priority="583">
      <formula>LEN(TRIM(F57))=0</formula>
    </cfRule>
  </conditionalFormatting>
  <conditionalFormatting sqref="I80">
    <cfRule type="containsBlanks" dxfId="341" priority="559">
      <formula>LEN(TRIM(I80))=0</formula>
    </cfRule>
  </conditionalFormatting>
  <conditionalFormatting sqref="I68">
    <cfRule type="containsBlanks" dxfId="340" priority="606">
      <formula>LEN(TRIM(I68))=0</formula>
    </cfRule>
  </conditionalFormatting>
  <conditionalFormatting sqref="F68">
    <cfRule type="containsBlanks" dxfId="339" priority="607">
      <formula>LEN(TRIM(F68))=0</formula>
    </cfRule>
  </conditionalFormatting>
  <conditionalFormatting sqref="F60">
    <cfRule type="containsBlanks" dxfId="338" priority="579">
      <formula>LEN(TRIM(F60))=0</formula>
    </cfRule>
  </conditionalFormatting>
  <conditionalFormatting sqref="F79">
    <cfRule type="containsBlanks" dxfId="337" priority="562">
      <formula>LEN(TRIM(F79))=0</formula>
    </cfRule>
  </conditionalFormatting>
  <conditionalFormatting sqref="F51">
    <cfRule type="containsBlanks" dxfId="336" priority="589">
      <formula>LEN(TRIM(F51))=0</formula>
    </cfRule>
  </conditionalFormatting>
  <conditionalFormatting sqref="I78">
    <cfRule type="containsBlanks" dxfId="335" priority="513">
      <formula>LEN(TRIM(I78))=0</formula>
    </cfRule>
  </conditionalFormatting>
  <conditionalFormatting sqref="F54">
    <cfRule type="containsBlanks" dxfId="334" priority="587">
      <formula>LEN(TRIM(F54))=0</formula>
    </cfRule>
  </conditionalFormatting>
  <conditionalFormatting sqref="F80">
    <cfRule type="containsBlanks" dxfId="333" priority="560">
      <formula>LEN(TRIM(F80))=0</formula>
    </cfRule>
  </conditionalFormatting>
  <conditionalFormatting sqref="F81">
    <cfRule type="containsBlanks" dxfId="332" priority="511">
      <formula>LEN(TRIM(F81))=0</formula>
    </cfRule>
  </conditionalFormatting>
  <conditionalFormatting sqref="F82">
    <cfRule type="containsBlanks" dxfId="331" priority="556">
      <formula>LEN(TRIM(F82))=0</formula>
    </cfRule>
  </conditionalFormatting>
  <conditionalFormatting sqref="I52">
    <cfRule type="containsBlanks" dxfId="330" priority="588">
      <formula>LEN(TRIM(I52))=0</formula>
    </cfRule>
  </conditionalFormatting>
  <conditionalFormatting sqref="I82">
    <cfRule type="containsBlanks" dxfId="329" priority="555">
      <formula>LEN(TRIM(I82))=0</formula>
    </cfRule>
  </conditionalFormatting>
  <conditionalFormatting sqref="I54">
    <cfRule type="containsBlanks" dxfId="328" priority="586">
      <formula>LEN(TRIM(I54))=0</formula>
    </cfRule>
  </conditionalFormatting>
  <conditionalFormatting sqref="F56">
    <cfRule type="containsBlanks" dxfId="327" priority="585">
      <formula>LEN(TRIM(F56))=0</formula>
    </cfRule>
  </conditionalFormatting>
  <conditionalFormatting sqref="F65">
    <cfRule type="containsBlanks" dxfId="326" priority="574">
      <formula>LEN(TRIM(F65))=0</formula>
    </cfRule>
  </conditionalFormatting>
  <conditionalFormatting sqref="F59">
    <cfRule type="containsBlanks" dxfId="325" priority="580">
      <formula>LEN(TRIM(F59))=0</formula>
    </cfRule>
  </conditionalFormatting>
  <conditionalFormatting sqref="I66">
    <cfRule type="containsBlanks" dxfId="324" priority="571">
      <formula>LEN(TRIM(I66))=0</formula>
    </cfRule>
  </conditionalFormatting>
  <conditionalFormatting sqref="F70">
    <cfRule type="containsBlanks" dxfId="323" priority="567">
      <formula>LEN(TRIM(F70))=0</formula>
    </cfRule>
  </conditionalFormatting>
  <conditionalFormatting sqref="I61:I62">
    <cfRule type="containsBlanks" dxfId="322" priority="578">
      <formula>LEN(TRIM(I61))=0</formula>
    </cfRule>
  </conditionalFormatting>
  <conditionalFormatting sqref="F62">
    <cfRule type="containsBlanks" dxfId="321" priority="577">
      <formula>LEN(TRIM(F62))=0</formula>
    </cfRule>
  </conditionalFormatting>
  <conditionalFormatting sqref="F64">
    <cfRule type="containsBlanks" dxfId="320" priority="576">
      <formula>LEN(TRIM(F64))=0</formula>
    </cfRule>
  </conditionalFormatting>
  <conditionalFormatting sqref="I64">
    <cfRule type="containsBlanks" dxfId="319" priority="575">
      <formula>LEN(TRIM(I64))=0</formula>
    </cfRule>
  </conditionalFormatting>
  <conditionalFormatting sqref="F69">
    <cfRule type="containsBlanks" dxfId="318" priority="570">
      <formula>LEN(TRIM(F69))=0</formula>
    </cfRule>
  </conditionalFormatting>
  <conditionalFormatting sqref="F66">
    <cfRule type="containsBlanks" dxfId="317" priority="573">
      <formula>LEN(TRIM(F66))=0</formula>
    </cfRule>
  </conditionalFormatting>
  <conditionalFormatting sqref="I69">
    <cfRule type="containsBlanks" dxfId="316" priority="569">
      <formula>LEN(TRIM(I69))=0</formula>
    </cfRule>
  </conditionalFormatting>
  <conditionalFormatting sqref="I70">
    <cfRule type="containsBlanks" dxfId="315" priority="568">
      <formula>LEN(TRIM(I70))=0</formula>
    </cfRule>
  </conditionalFormatting>
  <conditionalFormatting sqref="I74">
    <cfRule type="containsBlanks" dxfId="314" priority="523">
      <formula>LEN(TRIM(I74))=0</formula>
    </cfRule>
  </conditionalFormatting>
  <conditionalFormatting sqref="I89">
    <cfRule type="containsBlanks" dxfId="313" priority="541">
      <formula>LEN(TRIM(I89))=0</formula>
    </cfRule>
  </conditionalFormatting>
  <conditionalFormatting sqref="I71">
    <cfRule type="containsBlanks" dxfId="312" priority="526">
      <formula>LEN(TRIM(I71))=0</formula>
    </cfRule>
  </conditionalFormatting>
  <conditionalFormatting sqref="I84">
    <cfRule type="containsBlanks" dxfId="311" priority="551">
      <formula>LEN(TRIM(I84))=0</formula>
    </cfRule>
  </conditionalFormatting>
  <conditionalFormatting sqref="I85">
    <cfRule type="containsBlanks" dxfId="310" priority="549">
      <formula>LEN(TRIM(I85))=0</formula>
    </cfRule>
  </conditionalFormatting>
  <conditionalFormatting sqref="F87">
    <cfRule type="containsBlanks" dxfId="309" priority="546">
      <formula>LEN(TRIM(F87))=0</formula>
    </cfRule>
  </conditionalFormatting>
  <conditionalFormatting sqref="I87">
    <cfRule type="containsBlanks" dxfId="308" priority="545">
      <formula>LEN(TRIM(I87))=0</formula>
    </cfRule>
  </conditionalFormatting>
  <conditionalFormatting sqref="F88">
    <cfRule type="containsBlanks" dxfId="307" priority="544">
      <formula>LEN(TRIM(F88))=0</formula>
    </cfRule>
  </conditionalFormatting>
  <conditionalFormatting sqref="I86">
    <cfRule type="containsBlanks" dxfId="306" priority="547">
      <formula>LEN(TRIM(I86))=0</formula>
    </cfRule>
  </conditionalFormatting>
  <conditionalFormatting sqref="F83">
    <cfRule type="containsBlanks" dxfId="305" priority="554">
      <formula>LEN(TRIM(F83))=0</formula>
    </cfRule>
  </conditionalFormatting>
  <conditionalFormatting sqref="I88">
    <cfRule type="containsBlanks" dxfId="304" priority="543">
      <formula>LEN(TRIM(I88))=0</formula>
    </cfRule>
  </conditionalFormatting>
  <conditionalFormatting sqref="F84">
    <cfRule type="containsBlanks" dxfId="303" priority="552">
      <formula>LEN(TRIM(F84))=0</formula>
    </cfRule>
  </conditionalFormatting>
  <conditionalFormatting sqref="I83">
    <cfRule type="containsBlanks" dxfId="302" priority="553">
      <formula>LEN(TRIM(I83))=0</formula>
    </cfRule>
  </conditionalFormatting>
  <conditionalFormatting sqref="F85">
    <cfRule type="containsBlanks" dxfId="301" priority="550">
      <formula>LEN(TRIM(F85))=0</formula>
    </cfRule>
  </conditionalFormatting>
  <conditionalFormatting sqref="F86">
    <cfRule type="containsBlanks" dxfId="300" priority="548">
      <formula>LEN(TRIM(F86))=0</formula>
    </cfRule>
  </conditionalFormatting>
  <conditionalFormatting sqref="I72">
    <cfRule type="containsBlanks" dxfId="299" priority="525">
      <formula>LEN(TRIM(I72))=0</formula>
    </cfRule>
  </conditionalFormatting>
  <conditionalFormatting sqref="F94">
    <cfRule type="containsBlanks" dxfId="298" priority="451">
      <formula>LEN(TRIM(F94))=0</formula>
    </cfRule>
  </conditionalFormatting>
  <conditionalFormatting sqref="I114">
    <cfRule type="containsBlanks" dxfId="297" priority="463">
      <formula>LEN(TRIM(I114))=0</formula>
    </cfRule>
  </conditionalFormatting>
  <conditionalFormatting sqref="F114">
    <cfRule type="containsBlanks" dxfId="296" priority="464">
      <formula>LEN(TRIM(F114))=0</formula>
    </cfRule>
  </conditionalFormatting>
  <conditionalFormatting sqref="I79">
    <cfRule type="containsBlanks" dxfId="295" priority="512">
      <formula>LEN(TRIM(I79))=0</formula>
    </cfRule>
  </conditionalFormatting>
  <conditionalFormatting sqref="I73">
    <cfRule type="containsBlanks" dxfId="294" priority="524">
      <formula>LEN(TRIM(I73))=0</formula>
    </cfRule>
  </conditionalFormatting>
  <conditionalFormatting sqref="F71">
    <cfRule type="containsBlanks" dxfId="293" priority="530">
      <formula>LEN(TRIM(F71))=0</formula>
    </cfRule>
  </conditionalFormatting>
  <conditionalFormatting sqref="F72">
    <cfRule type="containsBlanks" dxfId="292" priority="529">
      <formula>LEN(TRIM(F72))=0</formula>
    </cfRule>
  </conditionalFormatting>
  <conditionalFormatting sqref="F74">
    <cfRule type="containsBlanks" dxfId="291" priority="527">
      <formula>LEN(TRIM(F74))=0</formula>
    </cfRule>
  </conditionalFormatting>
  <conditionalFormatting sqref="F73">
    <cfRule type="containsBlanks" dxfId="290" priority="528">
      <formula>LEN(TRIM(F73))=0</formula>
    </cfRule>
  </conditionalFormatting>
  <conditionalFormatting sqref="F78">
    <cfRule type="containsBlanks" dxfId="289" priority="515">
      <formula>LEN(TRIM(F78))=0</formula>
    </cfRule>
  </conditionalFormatting>
  <conditionalFormatting sqref="F77">
    <cfRule type="containsBlanks" dxfId="288" priority="516">
      <formula>LEN(TRIM(F77))=0</formula>
    </cfRule>
  </conditionalFormatting>
  <conditionalFormatting sqref="I76">
    <cfRule type="containsBlanks" dxfId="287" priority="519">
      <formula>LEN(TRIM(I76))=0</formula>
    </cfRule>
  </conditionalFormatting>
  <conditionalFormatting sqref="I75">
    <cfRule type="containsBlanks" dxfId="286" priority="520">
      <formula>LEN(TRIM(I75))=0</formula>
    </cfRule>
  </conditionalFormatting>
  <conditionalFormatting sqref="F75">
    <cfRule type="containsBlanks" dxfId="285" priority="518">
      <formula>LEN(TRIM(F75))=0</formula>
    </cfRule>
  </conditionalFormatting>
  <conditionalFormatting sqref="F76">
    <cfRule type="containsBlanks" dxfId="284" priority="517">
      <formula>LEN(TRIM(F76))=0</formula>
    </cfRule>
  </conditionalFormatting>
  <conditionalFormatting sqref="F105">
    <cfRule type="containsBlanks" dxfId="283" priority="482">
      <formula>LEN(TRIM(F105))=0</formula>
    </cfRule>
  </conditionalFormatting>
  <conditionalFormatting sqref="I77">
    <cfRule type="containsBlanks" dxfId="282" priority="514">
      <formula>LEN(TRIM(I77))=0</formula>
    </cfRule>
  </conditionalFormatting>
  <conditionalFormatting sqref="F87">
    <cfRule type="containsBlanks" dxfId="281" priority="493">
      <formula>LEN(TRIM(F87))=0</formula>
    </cfRule>
  </conditionalFormatting>
  <conditionalFormatting sqref="F86">
    <cfRule type="containsBlanks" dxfId="280" priority="494">
      <formula>LEN(TRIM(F86))=0</formula>
    </cfRule>
  </conditionalFormatting>
  <conditionalFormatting sqref="F107">
    <cfRule type="containsBlanks" dxfId="279" priority="478">
      <formula>LEN(TRIM(F107))=0</formula>
    </cfRule>
  </conditionalFormatting>
  <conditionalFormatting sqref="I87">
    <cfRule type="containsBlanks" dxfId="278" priority="491">
      <formula>LEN(TRIM(I87))=0</formula>
    </cfRule>
  </conditionalFormatting>
  <conditionalFormatting sqref="F93">
    <cfRule type="containsBlanks" dxfId="277" priority="452">
      <formula>LEN(TRIM(F93))=0</formula>
    </cfRule>
  </conditionalFormatting>
  <conditionalFormatting sqref="F108">
    <cfRule type="containsBlanks" dxfId="276" priority="476">
      <formula>LEN(TRIM(F108))=0</formula>
    </cfRule>
  </conditionalFormatting>
  <conditionalFormatting sqref="F93">
    <cfRule type="containsBlanks" dxfId="275" priority="449">
      <formula>LEN(TRIM(F93))=0</formula>
    </cfRule>
  </conditionalFormatting>
  <conditionalFormatting sqref="F95">
    <cfRule type="containsBlanks" dxfId="274" priority="450">
      <formula>LEN(TRIM(F95))=0</formula>
    </cfRule>
  </conditionalFormatting>
  <conditionalFormatting sqref="F89">
    <cfRule type="containsBlanks" dxfId="273" priority="462">
      <formula>LEN(TRIM(F89))=0</formula>
    </cfRule>
  </conditionalFormatting>
  <conditionalFormatting sqref="F90">
    <cfRule type="containsBlanks" dxfId="272" priority="460">
      <formula>LEN(TRIM(F90))=0</formula>
    </cfRule>
  </conditionalFormatting>
  <conditionalFormatting sqref="I86">
    <cfRule type="containsBlanks" dxfId="271" priority="492">
      <formula>LEN(TRIM(I86))=0</formula>
    </cfRule>
  </conditionalFormatting>
  <conditionalFormatting sqref="F89">
    <cfRule type="containsBlanks" dxfId="270" priority="461">
      <formula>LEN(TRIM(F89))=0</formula>
    </cfRule>
  </conditionalFormatting>
  <conditionalFormatting sqref="I90">
    <cfRule type="containsBlanks" dxfId="269" priority="457">
      <formula>LEN(TRIM(I90))=0</formula>
    </cfRule>
  </conditionalFormatting>
  <conditionalFormatting sqref="F111">
    <cfRule type="containsBlanks" dxfId="268" priority="470">
      <formula>LEN(TRIM(F111))=0</formula>
    </cfRule>
  </conditionalFormatting>
  <conditionalFormatting sqref="F91">
    <cfRule type="containsBlanks" dxfId="267" priority="456">
      <formula>LEN(TRIM(F91))=0</formula>
    </cfRule>
  </conditionalFormatting>
  <conditionalFormatting sqref="F90">
    <cfRule type="containsBlanks" dxfId="266" priority="459">
      <formula>LEN(TRIM(F90))=0</formula>
    </cfRule>
  </conditionalFormatting>
  <conditionalFormatting sqref="I90">
    <cfRule type="containsBlanks" dxfId="265" priority="458">
      <formula>LEN(TRIM(I90))=0</formula>
    </cfRule>
  </conditionalFormatting>
  <conditionalFormatting sqref="F91">
    <cfRule type="containsBlanks" dxfId="264" priority="455">
      <formula>LEN(TRIM(F91))=0</formula>
    </cfRule>
  </conditionalFormatting>
  <conditionalFormatting sqref="I91:I92">
    <cfRule type="containsBlanks" dxfId="263" priority="454">
      <formula>LEN(TRIM(I91))=0</formula>
    </cfRule>
  </conditionalFormatting>
  <conditionalFormatting sqref="F92">
    <cfRule type="containsBlanks" dxfId="262" priority="453">
      <formula>LEN(TRIM(F92))=0</formula>
    </cfRule>
  </conditionalFormatting>
  <conditionalFormatting sqref="F94">
    <cfRule type="containsBlanks" dxfId="261" priority="448">
      <formula>LEN(TRIM(F94))=0</formula>
    </cfRule>
  </conditionalFormatting>
  <conditionalFormatting sqref="F97">
    <cfRule type="containsBlanks" dxfId="260" priority="443">
      <formula>LEN(TRIM(F97))=0</formula>
    </cfRule>
  </conditionalFormatting>
  <conditionalFormatting sqref="F96">
    <cfRule type="containsBlanks" dxfId="259" priority="447">
      <formula>LEN(TRIM(F96))=0</formula>
    </cfRule>
  </conditionalFormatting>
  <conditionalFormatting sqref="F96">
    <cfRule type="containsBlanks" dxfId="258" priority="446">
      <formula>LEN(TRIM(F96))=0</formula>
    </cfRule>
  </conditionalFormatting>
  <conditionalFormatting sqref="F97">
    <cfRule type="containsBlanks" dxfId="257" priority="442">
      <formula>LEN(TRIM(F97))=0</formula>
    </cfRule>
  </conditionalFormatting>
  <conditionalFormatting sqref="F98">
    <cfRule type="containsBlanks" dxfId="256" priority="441">
      <formula>LEN(TRIM(F98))=0</formula>
    </cfRule>
  </conditionalFormatting>
  <conditionalFormatting sqref="I93">
    <cfRule type="containsBlanks" dxfId="255" priority="436">
      <formula>LEN(TRIM(I93))=0</formula>
    </cfRule>
  </conditionalFormatting>
  <conditionalFormatting sqref="I94">
    <cfRule type="containsBlanks" dxfId="254" priority="439">
      <formula>LEN(TRIM(I94))=0</formula>
    </cfRule>
  </conditionalFormatting>
  <conditionalFormatting sqref="I93">
    <cfRule type="containsBlanks" dxfId="253" priority="440">
      <formula>LEN(TRIM(I93))=0</formula>
    </cfRule>
  </conditionalFormatting>
  <conditionalFormatting sqref="I95">
    <cfRule type="containsBlanks" dxfId="252" priority="438">
      <formula>LEN(TRIM(I95))=0</formula>
    </cfRule>
  </conditionalFormatting>
  <conditionalFormatting sqref="I94">
    <cfRule type="containsBlanks" dxfId="251" priority="435">
      <formula>LEN(TRIM(I94))=0</formula>
    </cfRule>
  </conditionalFormatting>
  <conditionalFormatting sqref="I97:I98">
    <cfRule type="containsBlanks" dxfId="250" priority="432">
      <formula>LEN(TRIM(I97))=0</formula>
    </cfRule>
  </conditionalFormatting>
  <conditionalFormatting sqref="I96">
    <cfRule type="containsBlanks" dxfId="249" priority="431">
      <formula>LEN(TRIM(I96))=0</formula>
    </cfRule>
  </conditionalFormatting>
  <conditionalFormatting sqref="F100">
    <cfRule type="containsBlanks" dxfId="248" priority="429">
      <formula>LEN(TRIM(F100))=0</formula>
    </cfRule>
  </conditionalFormatting>
  <conditionalFormatting sqref="F101">
    <cfRule type="containsBlanks" dxfId="247" priority="428">
      <formula>LEN(TRIM(F101))=0</formula>
    </cfRule>
  </conditionalFormatting>
  <conditionalFormatting sqref="F99">
    <cfRule type="containsBlanks" dxfId="246" priority="430">
      <formula>LEN(TRIM(F99))=0</formula>
    </cfRule>
  </conditionalFormatting>
  <conditionalFormatting sqref="F100">
    <cfRule type="containsBlanks" dxfId="245" priority="426">
      <formula>LEN(TRIM(F100))=0</formula>
    </cfRule>
  </conditionalFormatting>
  <conditionalFormatting sqref="F99">
    <cfRule type="containsBlanks" dxfId="244" priority="427">
      <formula>LEN(TRIM(F99))=0</formula>
    </cfRule>
  </conditionalFormatting>
  <conditionalFormatting sqref="F103">
    <cfRule type="containsBlanks" dxfId="243" priority="423">
      <formula>LEN(TRIM(F103))=0</formula>
    </cfRule>
  </conditionalFormatting>
  <conditionalFormatting sqref="F102">
    <cfRule type="containsBlanks" dxfId="242" priority="425">
      <formula>LEN(TRIM(F102))=0</formula>
    </cfRule>
  </conditionalFormatting>
  <conditionalFormatting sqref="F102">
    <cfRule type="containsBlanks" dxfId="241" priority="424">
      <formula>LEN(TRIM(F102))=0</formula>
    </cfRule>
  </conditionalFormatting>
  <conditionalFormatting sqref="F103">
    <cfRule type="containsBlanks" dxfId="240" priority="422">
      <formula>LEN(TRIM(F103))=0</formula>
    </cfRule>
  </conditionalFormatting>
  <conditionalFormatting sqref="F104">
    <cfRule type="containsBlanks" dxfId="239" priority="421">
      <formula>LEN(TRIM(F104))=0</formula>
    </cfRule>
  </conditionalFormatting>
  <conditionalFormatting sqref="I99">
    <cfRule type="containsBlanks" dxfId="238" priority="417">
      <formula>LEN(TRIM(I99))=0</formula>
    </cfRule>
  </conditionalFormatting>
  <conditionalFormatting sqref="I100">
    <cfRule type="containsBlanks" dxfId="237" priority="419">
      <formula>LEN(TRIM(I100))=0</formula>
    </cfRule>
  </conditionalFormatting>
  <conditionalFormatting sqref="I99">
    <cfRule type="containsBlanks" dxfId="236" priority="420">
      <formula>LEN(TRIM(I99))=0</formula>
    </cfRule>
  </conditionalFormatting>
  <conditionalFormatting sqref="I101">
    <cfRule type="containsBlanks" dxfId="235" priority="418">
      <formula>LEN(TRIM(I101))=0</formula>
    </cfRule>
  </conditionalFormatting>
  <conditionalFormatting sqref="I100">
    <cfRule type="containsBlanks" dxfId="234" priority="416">
      <formula>LEN(TRIM(I100))=0</formula>
    </cfRule>
  </conditionalFormatting>
  <conditionalFormatting sqref="I103:I104">
    <cfRule type="containsBlanks" dxfId="233" priority="415">
      <formula>LEN(TRIM(I103))=0</formula>
    </cfRule>
  </conditionalFormatting>
  <conditionalFormatting sqref="I102">
    <cfRule type="containsBlanks" dxfId="232" priority="414">
      <formula>LEN(TRIM(I102))=0</formula>
    </cfRule>
  </conditionalFormatting>
  <conditionalFormatting sqref="I105">
    <cfRule type="containsBlanks" dxfId="231" priority="412">
      <formula>LEN(TRIM(I105))=0</formula>
    </cfRule>
  </conditionalFormatting>
  <conditionalFormatting sqref="I105">
    <cfRule type="containsBlanks" dxfId="230" priority="413">
      <formula>LEN(TRIM(I105))=0</formula>
    </cfRule>
  </conditionalFormatting>
  <conditionalFormatting sqref="F106">
    <cfRule type="containsBlanks" dxfId="229" priority="411">
      <formula>LEN(TRIM(F106))=0</formula>
    </cfRule>
  </conditionalFormatting>
  <conditionalFormatting sqref="F106">
    <cfRule type="containsBlanks" dxfId="228" priority="410">
      <formula>LEN(TRIM(F106))=0</formula>
    </cfRule>
  </conditionalFormatting>
  <conditionalFormatting sqref="I106:I107">
    <cfRule type="containsBlanks" dxfId="227" priority="409">
      <formula>LEN(TRIM(I106))=0</formula>
    </cfRule>
  </conditionalFormatting>
  <conditionalFormatting sqref="F116">
    <cfRule type="containsBlanks" dxfId="226" priority="406">
      <formula>LEN(TRIM(F116))=0</formula>
    </cfRule>
  </conditionalFormatting>
  <conditionalFormatting sqref="F120:F122">
    <cfRule type="containsBlanks" dxfId="225" priority="398">
      <formula>LEN(TRIM(F120))=0</formula>
    </cfRule>
  </conditionalFormatting>
  <conditionalFormatting sqref="I120:I122">
    <cfRule type="containsBlanks" dxfId="224" priority="397">
      <formula>LEN(TRIM(I120))=0</formula>
    </cfRule>
  </conditionalFormatting>
  <conditionalFormatting sqref="I116">
    <cfRule type="containsBlanks" dxfId="223" priority="405">
      <formula>LEN(TRIM(I116))=0</formula>
    </cfRule>
  </conditionalFormatting>
  <conditionalFormatting sqref="I108">
    <cfRule type="containsBlanks" dxfId="222" priority="394">
      <formula>LEN(TRIM(I108))=0</formula>
    </cfRule>
  </conditionalFormatting>
  <conditionalFormatting sqref="F117">
    <cfRule type="containsBlanks" dxfId="221" priority="404">
      <formula>LEN(TRIM(F117))=0</formula>
    </cfRule>
  </conditionalFormatting>
  <conditionalFormatting sqref="F119">
    <cfRule type="containsBlanks" dxfId="220" priority="400">
      <formula>LEN(TRIM(F119))=0</formula>
    </cfRule>
  </conditionalFormatting>
  <conditionalFormatting sqref="I108">
    <cfRule type="containsBlanks" dxfId="219" priority="393">
      <formula>LEN(TRIM(I108))=0</formula>
    </cfRule>
  </conditionalFormatting>
  <conditionalFormatting sqref="F109">
    <cfRule type="containsBlanks" dxfId="218" priority="392">
      <formula>LEN(TRIM(F109))=0</formula>
    </cfRule>
  </conditionalFormatting>
  <conditionalFormatting sqref="F109">
    <cfRule type="containsBlanks" dxfId="217" priority="391">
      <formula>LEN(TRIM(F109))=0</formula>
    </cfRule>
  </conditionalFormatting>
  <conditionalFormatting sqref="I109:I110">
    <cfRule type="containsBlanks" dxfId="216" priority="390">
      <formula>LEN(TRIM(I109))=0</formula>
    </cfRule>
  </conditionalFormatting>
  <conditionalFormatting sqref="F110">
    <cfRule type="containsBlanks" dxfId="215" priority="389">
      <formula>LEN(TRIM(F110))=0</formula>
    </cfRule>
  </conditionalFormatting>
  <conditionalFormatting sqref="I112:I113">
    <cfRule type="containsBlanks" dxfId="214" priority="383">
      <formula>LEN(TRIM(I112))=0</formula>
    </cfRule>
  </conditionalFormatting>
  <conditionalFormatting sqref="I115">
    <cfRule type="containsBlanks" dxfId="213" priority="381">
      <formula>LEN(TRIM(I115))=0</formula>
    </cfRule>
  </conditionalFormatting>
  <conditionalFormatting sqref="F112">
    <cfRule type="containsBlanks" dxfId="212" priority="388">
      <formula>LEN(TRIM(F112))=0</formula>
    </cfRule>
  </conditionalFormatting>
  <conditionalFormatting sqref="F112">
    <cfRule type="containsBlanks" dxfId="211" priority="387">
      <formula>LEN(TRIM(F112))=0</formula>
    </cfRule>
  </conditionalFormatting>
  <conditionalFormatting sqref="F113">
    <cfRule type="containsBlanks" dxfId="210" priority="386">
      <formula>LEN(TRIM(F113))=0</formula>
    </cfRule>
  </conditionalFormatting>
  <conditionalFormatting sqref="I111">
    <cfRule type="containsBlanks" dxfId="209" priority="384">
      <formula>LEN(TRIM(I111))=0</formula>
    </cfRule>
  </conditionalFormatting>
  <conditionalFormatting sqref="I111">
    <cfRule type="containsBlanks" dxfId="208" priority="385">
      <formula>LEN(TRIM(I111))=0</formula>
    </cfRule>
  </conditionalFormatting>
  <conditionalFormatting sqref="F115">
    <cfRule type="containsBlanks" dxfId="207" priority="382">
      <formula>LEN(TRIM(F115))=0</formula>
    </cfRule>
  </conditionalFormatting>
  <conditionalFormatting sqref="I117:I119">
    <cfRule type="containsBlanks" dxfId="206" priority="380">
      <formula>LEN(TRIM(I117))=0</formula>
    </cfRule>
  </conditionalFormatting>
  <conditionalFormatting sqref="F118">
    <cfRule type="containsBlanks" dxfId="205" priority="379">
      <formula>LEN(TRIM(F118))=0</formula>
    </cfRule>
  </conditionalFormatting>
  <conditionalFormatting sqref="F123">
    <cfRule type="containsBlanks" dxfId="204" priority="376">
      <formula>LEN(TRIM(F123))=0</formula>
    </cfRule>
  </conditionalFormatting>
  <conditionalFormatting sqref="F124">
    <cfRule type="containsBlanks" dxfId="203" priority="374">
      <formula>LEN(TRIM(F124))=0</formula>
    </cfRule>
  </conditionalFormatting>
  <conditionalFormatting sqref="F125">
    <cfRule type="containsBlanks" dxfId="202" priority="372">
      <formula>LEN(TRIM(F125))=0</formula>
    </cfRule>
  </conditionalFormatting>
  <conditionalFormatting sqref="F126">
    <cfRule type="containsBlanks" dxfId="201" priority="370">
      <formula>LEN(TRIM(F126))=0</formula>
    </cfRule>
  </conditionalFormatting>
  <conditionalFormatting sqref="F127">
    <cfRule type="containsBlanks" dxfId="200" priority="368">
      <formula>LEN(TRIM(F127))=0</formula>
    </cfRule>
  </conditionalFormatting>
  <conditionalFormatting sqref="F138">
    <cfRule type="containsBlanks" dxfId="199" priority="345">
      <formula>LEN(TRIM(F138))=0</formula>
    </cfRule>
  </conditionalFormatting>
  <conditionalFormatting sqref="F128">
    <cfRule type="containsBlanks" dxfId="198" priority="366">
      <formula>LEN(TRIM(F128))=0</formula>
    </cfRule>
  </conditionalFormatting>
  <conditionalFormatting sqref="F139">
    <cfRule type="containsBlanks" dxfId="197" priority="343">
      <formula>LEN(TRIM(F139))=0</formula>
    </cfRule>
  </conditionalFormatting>
  <conditionalFormatting sqref="F129">
    <cfRule type="containsBlanks" dxfId="196" priority="364">
      <formula>LEN(TRIM(F129))=0</formula>
    </cfRule>
  </conditionalFormatting>
  <conditionalFormatting sqref="F140">
    <cfRule type="containsBlanks" dxfId="195" priority="341">
      <formula>LEN(TRIM(F140))=0</formula>
    </cfRule>
  </conditionalFormatting>
  <conditionalFormatting sqref="F130">
    <cfRule type="containsBlanks" dxfId="194" priority="362">
      <formula>LEN(TRIM(F130))=0</formula>
    </cfRule>
  </conditionalFormatting>
  <conditionalFormatting sqref="F137">
    <cfRule type="containsBlanks" dxfId="193" priority="347">
      <formula>LEN(TRIM(F137))=0</formula>
    </cfRule>
  </conditionalFormatting>
  <conditionalFormatting sqref="F131">
    <cfRule type="containsBlanks" dxfId="192" priority="360">
      <formula>LEN(TRIM(F131))=0</formula>
    </cfRule>
  </conditionalFormatting>
  <conditionalFormatting sqref="F134">
    <cfRule type="containsBlanks" dxfId="191" priority="354">
      <formula>LEN(TRIM(F134))=0</formula>
    </cfRule>
  </conditionalFormatting>
  <conditionalFormatting sqref="F135">
    <cfRule type="containsBlanks" dxfId="190" priority="352">
      <formula>LEN(TRIM(F135))=0</formula>
    </cfRule>
  </conditionalFormatting>
  <conditionalFormatting sqref="F136">
    <cfRule type="containsBlanks" dxfId="189" priority="350">
      <formula>LEN(TRIM(F136))=0</formula>
    </cfRule>
  </conditionalFormatting>
  <conditionalFormatting sqref="I123:I141">
    <cfRule type="containsBlanks" dxfId="188" priority="348">
      <formula>LEN(TRIM(I123))=0</formula>
    </cfRule>
  </conditionalFormatting>
  <conditionalFormatting sqref="F145">
    <cfRule type="containsBlanks" dxfId="187" priority="329">
      <formula>LEN(TRIM(F145))=0</formula>
    </cfRule>
  </conditionalFormatting>
  <conditionalFormatting sqref="F146">
    <cfRule type="containsBlanks" dxfId="186" priority="327">
      <formula>LEN(TRIM(F146))=0</formula>
    </cfRule>
  </conditionalFormatting>
  <conditionalFormatting sqref="F147">
    <cfRule type="containsBlanks" dxfId="185" priority="325">
      <formula>LEN(TRIM(F147))=0</formula>
    </cfRule>
  </conditionalFormatting>
  <conditionalFormatting sqref="I148">
    <cfRule type="containsBlanks" dxfId="184" priority="322">
      <formula>LEN(TRIM(I148))=0</formula>
    </cfRule>
  </conditionalFormatting>
  <conditionalFormatting sqref="F141">
    <cfRule type="containsBlanks" dxfId="183" priority="339">
      <formula>LEN(TRIM(F141))=0</formula>
    </cfRule>
  </conditionalFormatting>
  <conditionalFormatting sqref="F132">
    <cfRule type="containsBlanks" dxfId="182" priority="337">
      <formula>LEN(TRIM(F132))=0</formula>
    </cfRule>
  </conditionalFormatting>
  <conditionalFormatting sqref="F133">
    <cfRule type="containsBlanks" dxfId="181" priority="336">
      <formula>LEN(TRIM(F133))=0</formula>
    </cfRule>
  </conditionalFormatting>
  <conditionalFormatting sqref="I142">
    <cfRule type="containsBlanks" dxfId="180" priority="334">
      <formula>LEN(TRIM(I142))=0</formula>
    </cfRule>
  </conditionalFormatting>
  <conditionalFormatting sqref="F142">
    <cfRule type="containsBlanks" dxfId="179" priority="335">
      <formula>LEN(TRIM(F142))=0</formula>
    </cfRule>
  </conditionalFormatting>
  <conditionalFormatting sqref="I143">
    <cfRule type="containsBlanks" dxfId="178" priority="332">
      <formula>LEN(TRIM(I143))=0</formula>
    </cfRule>
  </conditionalFormatting>
  <conditionalFormatting sqref="F143">
    <cfRule type="containsBlanks" dxfId="177" priority="333">
      <formula>LEN(TRIM(F143))=0</formula>
    </cfRule>
  </conditionalFormatting>
  <conditionalFormatting sqref="I144:I147">
    <cfRule type="containsBlanks" dxfId="176" priority="330">
      <formula>LEN(TRIM(I144))=0</formula>
    </cfRule>
  </conditionalFormatting>
  <conditionalFormatting sqref="F148">
    <cfRule type="containsBlanks" dxfId="175" priority="323">
      <formula>LEN(TRIM(F148))=0</formula>
    </cfRule>
  </conditionalFormatting>
  <conditionalFormatting sqref="I149">
    <cfRule type="containsBlanks" dxfId="174" priority="320">
      <formula>LEN(TRIM(I149))=0</formula>
    </cfRule>
  </conditionalFormatting>
  <conditionalFormatting sqref="I150">
    <cfRule type="containsBlanks" dxfId="173" priority="318">
      <formula>LEN(TRIM(I150))=0</formula>
    </cfRule>
  </conditionalFormatting>
  <conditionalFormatting sqref="I151">
    <cfRule type="containsBlanks" dxfId="172" priority="316">
      <formula>LEN(TRIM(I151))=0</formula>
    </cfRule>
  </conditionalFormatting>
  <conditionalFormatting sqref="F151">
    <cfRule type="containsBlanks" dxfId="171" priority="317">
      <formula>LEN(TRIM(F151))=0</formula>
    </cfRule>
  </conditionalFormatting>
  <conditionalFormatting sqref="I152">
    <cfRule type="containsBlanks" dxfId="170" priority="314">
      <formula>LEN(TRIM(I152))=0</formula>
    </cfRule>
  </conditionalFormatting>
  <conditionalFormatting sqref="F152">
    <cfRule type="containsBlanks" dxfId="169" priority="315">
      <formula>LEN(TRIM(F152))=0</formula>
    </cfRule>
  </conditionalFormatting>
  <conditionalFormatting sqref="I153:I158">
    <cfRule type="containsBlanks" dxfId="168" priority="312">
      <formula>LEN(TRIM(I153))=0</formula>
    </cfRule>
  </conditionalFormatting>
  <conditionalFormatting sqref="F153">
    <cfRule type="containsBlanks" dxfId="167" priority="313">
      <formula>LEN(TRIM(F153))=0</formula>
    </cfRule>
  </conditionalFormatting>
  <conditionalFormatting sqref="F144">
    <cfRule type="containsBlanks" dxfId="166" priority="311">
      <formula>LEN(TRIM(F144))=0</formula>
    </cfRule>
  </conditionalFormatting>
  <conditionalFormatting sqref="F149">
    <cfRule type="containsBlanks" dxfId="165" priority="310">
      <formula>LEN(TRIM(F149))=0</formula>
    </cfRule>
  </conditionalFormatting>
  <conditionalFormatting sqref="F150">
    <cfRule type="containsBlanks" dxfId="164" priority="309">
      <formula>LEN(TRIM(F150))=0</formula>
    </cfRule>
  </conditionalFormatting>
  <conditionalFormatting sqref="F154">
    <cfRule type="containsBlanks" dxfId="163" priority="308">
      <formula>LEN(TRIM(F154))=0</formula>
    </cfRule>
  </conditionalFormatting>
  <conditionalFormatting sqref="F158">
    <cfRule type="containsBlanks" dxfId="162" priority="300">
      <formula>LEN(TRIM(F158))=0</formula>
    </cfRule>
  </conditionalFormatting>
  <conditionalFormatting sqref="I159">
    <cfRule type="containsBlanks" dxfId="161" priority="297">
      <formula>LEN(TRIM(I159))=0</formula>
    </cfRule>
  </conditionalFormatting>
  <conditionalFormatting sqref="F159">
    <cfRule type="containsBlanks" dxfId="160" priority="263">
      <formula>LEN(TRIM(F159))=0</formula>
    </cfRule>
  </conditionalFormatting>
  <conditionalFormatting sqref="F157">
    <cfRule type="containsBlanks" dxfId="159" priority="288">
      <formula>LEN(TRIM(F157))=0</formula>
    </cfRule>
  </conditionalFormatting>
  <conditionalFormatting sqref="F155">
    <cfRule type="containsBlanks" dxfId="158" priority="290">
      <formula>LEN(TRIM(F155))=0</formula>
    </cfRule>
  </conditionalFormatting>
  <conditionalFormatting sqref="F156">
    <cfRule type="containsBlanks" dxfId="157" priority="289">
      <formula>LEN(TRIM(F156))=0</formula>
    </cfRule>
  </conditionalFormatting>
  <conditionalFormatting sqref="F181">
    <cfRule type="containsBlanks" dxfId="156" priority="237">
      <formula>LEN(TRIM(F181))=0</formula>
    </cfRule>
  </conditionalFormatting>
  <conditionalFormatting sqref="F182:F183">
    <cfRule type="containsBlanks" dxfId="155" priority="235">
      <formula>LEN(TRIM(F182))=0</formula>
    </cfRule>
  </conditionalFormatting>
  <conditionalFormatting sqref="F160">
    <cfRule type="containsBlanks" dxfId="154" priority="262">
      <formula>LEN(TRIM(F160))=0</formula>
    </cfRule>
  </conditionalFormatting>
  <conditionalFormatting sqref="F180">
    <cfRule type="containsBlanks" dxfId="153" priority="239">
      <formula>LEN(TRIM(F180))=0</formula>
    </cfRule>
  </conditionalFormatting>
  <conditionalFormatting sqref="I160:I161">
    <cfRule type="containsBlanks" dxfId="152" priority="261">
      <formula>LEN(TRIM(I160))=0</formula>
    </cfRule>
  </conditionalFormatting>
  <conditionalFormatting sqref="F188">
    <cfRule type="containsBlanks" dxfId="151" priority="217">
      <formula>LEN(TRIM(F188))=0</formula>
    </cfRule>
  </conditionalFormatting>
  <conditionalFormatting sqref="F161">
    <cfRule type="containsBlanks" dxfId="150" priority="260">
      <formula>LEN(TRIM(F161))=0</formula>
    </cfRule>
  </conditionalFormatting>
  <conditionalFormatting sqref="F162">
    <cfRule type="containsBlanks" dxfId="149" priority="259">
      <formula>LEN(TRIM(F162))=0</formula>
    </cfRule>
  </conditionalFormatting>
  <conditionalFormatting sqref="F163">
    <cfRule type="containsBlanks" dxfId="148" priority="258">
      <formula>LEN(TRIM(F163))=0</formula>
    </cfRule>
  </conditionalFormatting>
  <conditionalFormatting sqref="F164">
    <cfRule type="containsBlanks" dxfId="147" priority="257">
      <formula>LEN(TRIM(F164))=0</formula>
    </cfRule>
  </conditionalFormatting>
  <conditionalFormatting sqref="F165">
    <cfRule type="containsBlanks" dxfId="146" priority="256">
      <formula>LEN(TRIM(F165))=0</formula>
    </cfRule>
  </conditionalFormatting>
  <conditionalFormatting sqref="I162">
    <cfRule type="containsBlanks" dxfId="145" priority="255">
      <formula>LEN(TRIM(I162))=0</formula>
    </cfRule>
  </conditionalFormatting>
  <conditionalFormatting sqref="I163">
    <cfRule type="containsBlanks" dxfId="144" priority="254">
      <formula>LEN(TRIM(I163))=0</formula>
    </cfRule>
  </conditionalFormatting>
  <conditionalFormatting sqref="I164:I168">
    <cfRule type="containsBlanks" dxfId="143" priority="253">
      <formula>LEN(TRIM(I164))=0</formula>
    </cfRule>
  </conditionalFormatting>
  <conditionalFormatting sqref="F166">
    <cfRule type="containsBlanks" dxfId="142" priority="252">
      <formula>LEN(TRIM(F166))=0</formula>
    </cfRule>
  </conditionalFormatting>
  <conditionalFormatting sqref="F167">
    <cfRule type="containsBlanks" dxfId="141" priority="251">
      <formula>LEN(TRIM(F167))=0</formula>
    </cfRule>
  </conditionalFormatting>
  <conditionalFormatting sqref="F168">
    <cfRule type="containsBlanks" dxfId="140" priority="250">
      <formula>LEN(TRIM(F168))=0</formula>
    </cfRule>
  </conditionalFormatting>
  <conditionalFormatting sqref="F179">
    <cfRule type="containsBlanks" dxfId="139" priority="241">
      <formula>LEN(TRIM(F179))=0</formula>
    </cfRule>
  </conditionalFormatting>
  <conditionalFormatting sqref="F186">
    <cfRule type="containsBlanks" dxfId="138" priority="225">
      <formula>LEN(TRIM(F186))=0</formula>
    </cfRule>
  </conditionalFormatting>
  <conditionalFormatting sqref="I184">
    <cfRule type="containsBlanks" dxfId="137" priority="230">
      <formula>LEN(TRIM(I184))=0</formula>
    </cfRule>
  </conditionalFormatting>
  <conditionalFormatting sqref="F187">
    <cfRule type="containsBlanks" dxfId="136" priority="221">
      <formula>LEN(TRIM(F187))=0</formula>
    </cfRule>
  </conditionalFormatting>
  <conditionalFormatting sqref="F169 F172 F175">
    <cfRule type="containsBlanks" dxfId="135" priority="213">
      <formula>LEN(TRIM(F169))=0</formula>
    </cfRule>
  </conditionalFormatting>
  <conditionalFormatting sqref="F185">
    <cfRule type="containsBlanks" dxfId="134" priority="229">
      <formula>LEN(TRIM(F185))=0</formula>
    </cfRule>
  </conditionalFormatting>
  <conditionalFormatting sqref="F197">
    <cfRule type="containsBlanks" dxfId="133" priority="181">
      <formula>LEN(TRIM(F197))=0</formula>
    </cfRule>
  </conditionalFormatting>
  <conditionalFormatting sqref="F170 F173 F176">
    <cfRule type="containsBlanks" dxfId="132" priority="212">
      <formula>LEN(TRIM(F170))=0</formula>
    </cfRule>
  </conditionalFormatting>
  <conditionalFormatting sqref="F171 F174 F177">
    <cfRule type="containsBlanks" dxfId="131" priority="211">
      <formula>LEN(TRIM(F171))=0</formula>
    </cfRule>
  </conditionalFormatting>
  <conditionalFormatting sqref="I169:I177">
    <cfRule type="containsBlanks" dxfId="130" priority="210">
      <formula>LEN(TRIM(I169))=0</formula>
    </cfRule>
  </conditionalFormatting>
  <conditionalFormatting sqref="F178">
    <cfRule type="containsBlanks" dxfId="129" priority="209">
      <formula>LEN(TRIM(F178))=0</formula>
    </cfRule>
  </conditionalFormatting>
  <conditionalFormatting sqref="I178">
    <cfRule type="containsBlanks" dxfId="128" priority="208">
      <formula>LEN(TRIM(I178))=0</formula>
    </cfRule>
  </conditionalFormatting>
  <conditionalFormatting sqref="I179:I183">
    <cfRule type="containsBlanks" dxfId="127" priority="207">
      <formula>LEN(TRIM(I179))=0</formula>
    </cfRule>
  </conditionalFormatting>
  <conditionalFormatting sqref="F184">
    <cfRule type="containsBlanks" dxfId="126" priority="206">
      <formula>LEN(TRIM(F184))=0</formula>
    </cfRule>
  </conditionalFormatting>
  <conditionalFormatting sqref="F190">
    <cfRule type="containsBlanks" dxfId="125" priority="201">
      <formula>LEN(TRIM(F190))=0</formula>
    </cfRule>
  </conditionalFormatting>
  <conditionalFormatting sqref="F189">
    <cfRule type="containsBlanks" dxfId="124" priority="205">
      <formula>LEN(TRIM(F189))=0</formula>
    </cfRule>
  </conditionalFormatting>
  <conditionalFormatting sqref="F191">
    <cfRule type="containsBlanks" dxfId="123" priority="197">
      <formula>LEN(TRIM(F191))=0</formula>
    </cfRule>
  </conditionalFormatting>
  <conditionalFormatting sqref="F192">
    <cfRule type="containsBlanks" dxfId="122" priority="193">
      <formula>LEN(TRIM(F192))=0</formula>
    </cfRule>
  </conditionalFormatting>
  <conditionalFormatting sqref="F193">
    <cfRule type="containsBlanks" dxfId="121" priority="189">
      <formula>LEN(TRIM(F193))=0</formula>
    </cfRule>
  </conditionalFormatting>
  <conditionalFormatting sqref="F199">
    <cfRule type="containsBlanks" dxfId="120" priority="177">
      <formula>LEN(TRIM(F199))=0</formula>
    </cfRule>
  </conditionalFormatting>
  <conditionalFormatting sqref="F198">
    <cfRule type="containsBlanks" dxfId="119" priority="179">
      <formula>LEN(TRIM(F198))=0</formula>
    </cfRule>
  </conditionalFormatting>
  <conditionalFormatting sqref="I198:I216">
    <cfRule type="containsBlanks" dxfId="118" priority="178">
      <formula>LEN(TRIM(I198))=0</formula>
    </cfRule>
  </conditionalFormatting>
  <conditionalFormatting sqref="F201">
    <cfRule type="containsBlanks" dxfId="117" priority="173">
      <formula>LEN(TRIM(F201))=0</formula>
    </cfRule>
  </conditionalFormatting>
  <conditionalFormatting sqref="F202">
    <cfRule type="containsBlanks" dxfId="116" priority="171">
      <formula>LEN(TRIM(F202))=0</formula>
    </cfRule>
  </conditionalFormatting>
  <conditionalFormatting sqref="F194">
    <cfRule type="containsBlanks" dxfId="115" priority="156">
      <formula>LEN(TRIM(F194))=0</formula>
    </cfRule>
  </conditionalFormatting>
  <conditionalFormatting sqref="F195">
    <cfRule type="containsBlanks" dxfId="114" priority="155">
      <formula>LEN(TRIM(F195))=0</formula>
    </cfRule>
  </conditionalFormatting>
  <conditionalFormatting sqref="F196">
    <cfRule type="containsBlanks" dxfId="113" priority="154">
      <formula>LEN(TRIM(F196))=0</formula>
    </cfRule>
  </conditionalFormatting>
  <conditionalFormatting sqref="F200">
    <cfRule type="containsBlanks" dxfId="112" priority="153">
      <formula>LEN(TRIM(F200))=0</formula>
    </cfRule>
  </conditionalFormatting>
  <conditionalFormatting sqref="F203">
    <cfRule type="containsBlanks" dxfId="111" priority="152">
      <formula>LEN(TRIM(F203))=0</formula>
    </cfRule>
  </conditionalFormatting>
  <conditionalFormatting sqref="F204">
    <cfRule type="containsBlanks" dxfId="110" priority="151">
      <formula>LEN(TRIM(F204))=0</formula>
    </cfRule>
  </conditionalFormatting>
  <conditionalFormatting sqref="F205">
    <cfRule type="containsBlanks" dxfId="109" priority="150">
      <formula>LEN(TRIM(F205))=0</formula>
    </cfRule>
  </conditionalFormatting>
  <conditionalFormatting sqref="F209">
    <cfRule type="containsBlanks" dxfId="108" priority="149">
      <formula>LEN(TRIM(F209))=0</formula>
    </cfRule>
  </conditionalFormatting>
  <conditionalFormatting sqref="F210">
    <cfRule type="containsBlanks" dxfId="107" priority="147">
      <formula>LEN(TRIM(F210))=0</formula>
    </cfRule>
  </conditionalFormatting>
  <conditionalFormatting sqref="F212">
    <cfRule type="containsBlanks" dxfId="106" priority="143">
      <formula>LEN(TRIM(F212))=0</formula>
    </cfRule>
  </conditionalFormatting>
  <conditionalFormatting sqref="F211">
    <cfRule type="containsBlanks" dxfId="105" priority="145">
      <formula>LEN(TRIM(F211))=0</formula>
    </cfRule>
  </conditionalFormatting>
  <conditionalFormatting sqref="F213">
    <cfRule type="containsBlanks" dxfId="104" priority="141">
      <formula>LEN(TRIM(F213))=0</formula>
    </cfRule>
  </conditionalFormatting>
  <conditionalFormatting sqref="F214">
    <cfRule type="containsBlanks" dxfId="103" priority="139">
      <formula>LEN(TRIM(F214))=0</formula>
    </cfRule>
  </conditionalFormatting>
  <conditionalFormatting sqref="F215">
    <cfRule type="containsBlanks" dxfId="102" priority="137">
      <formula>LEN(TRIM(F215))=0</formula>
    </cfRule>
  </conditionalFormatting>
  <conditionalFormatting sqref="F216">
    <cfRule type="containsBlanks" dxfId="101" priority="135">
      <formula>LEN(TRIM(F216))=0</formula>
    </cfRule>
  </conditionalFormatting>
  <conditionalFormatting sqref="F217:F218">
    <cfRule type="containsBlanks" dxfId="100" priority="133">
      <formula>LEN(TRIM(F217))=0</formula>
    </cfRule>
  </conditionalFormatting>
  <conditionalFormatting sqref="F206">
    <cfRule type="containsBlanks" dxfId="99" priority="131">
      <formula>LEN(TRIM(F206))=0</formula>
    </cfRule>
  </conditionalFormatting>
  <conditionalFormatting sqref="F207">
    <cfRule type="containsBlanks" dxfId="98" priority="130">
      <formula>LEN(TRIM(F207))=0</formula>
    </cfRule>
  </conditionalFormatting>
  <conditionalFormatting sqref="F208">
    <cfRule type="containsBlanks" dxfId="97" priority="129">
      <formula>LEN(TRIM(F208))=0</formula>
    </cfRule>
  </conditionalFormatting>
  <conditionalFormatting sqref="F219">
    <cfRule type="containsBlanks" dxfId="96" priority="126">
      <formula>LEN(TRIM(F219))=0</formula>
    </cfRule>
  </conditionalFormatting>
  <conditionalFormatting sqref="F221">
    <cfRule type="containsBlanks" dxfId="95" priority="122">
      <formula>LEN(TRIM(F221))=0</formula>
    </cfRule>
  </conditionalFormatting>
  <conditionalFormatting sqref="F222">
    <cfRule type="containsBlanks" dxfId="94" priority="120">
      <formula>LEN(TRIM(F222))=0</formula>
    </cfRule>
  </conditionalFormatting>
  <conditionalFormatting sqref="F223:F224">
    <cfRule type="containsBlanks" dxfId="93" priority="118">
      <formula>LEN(TRIM(F223))=0</formula>
    </cfRule>
  </conditionalFormatting>
  <conditionalFormatting sqref="F226:F227">
    <cfRule type="containsBlanks" dxfId="92" priority="112">
      <formula>LEN(TRIM(F226))=0</formula>
    </cfRule>
  </conditionalFormatting>
  <conditionalFormatting sqref="F228">
    <cfRule type="containsBlanks" dxfId="91" priority="108">
      <formula>LEN(TRIM(F228))=0</formula>
    </cfRule>
  </conditionalFormatting>
  <conditionalFormatting sqref="F229">
    <cfRule type="containsBlanks" dxfId="90" priority="106">
      <formula>LEN(TRIM(F229))=0</formula>
    </cfRule>
  </conditionalFormatting>
  <conditionalFormatting sqref="I238">
    <cfRule type="containsBlanks" dxfId="89" priority="87">
      <formula>LEN(TRIM(I238))=0</formula>
    </cfRule>
  </conditionalFormatting>
  <conditionalFormatting sqref="F230">
    <cfRule type="containsBlanks" dxfId="88" priority="104">
      <formula>LEN(TRIM(F230))=0</formula>
    </cfRule>
  </conditionalFormatting>
  <conditionalFormatting sqref="F220">
    <cfRule type="containsBlanks" dxfId="87" priority="85">
      <formula>LEN(TRIM(F220))=0</formula>
    </cfRule>
  </conditionalFormatting>
  <conditionalFormatting sqref="F231">
    <cfRule type="containsBlanks" dxfId="86" priority="102">
      <formula>LEN(TRIM(F231))=0</formula>
    </cfRule>
  </conditionalFormatting>
  <conditionalFormatting sqref="F246">
    <cfRule type="containsBlanks" dxfId="85" priority="83">
      <formula>LEN(TRIM(F246))=0</formula>
    </cfRule>
  </conditionalFormatting>
  <conditionalFormatting sqref="F232">
    <cfRule type="containsBlanks" dxfId="84" priority="100">
      <formula>LEN(TRIM(F232))=0</formula>
    </cfRule>
  </conditionalFormatting>
  <conditionalFormatting sqref="F233">
    <cfRule type="containsBlanks" dxfId="83" priority="98">
      <formula>LEN(TRIM(F233))=0</formula>
    </cfRule>
  </conditionalFormatting>
  <conditionalFormatting sqref="I237">
    <cfRule type="containsBlanks" dxfId="82" priority="89">
      <formula>LEN(TRIM(I237))=0</formula>
    </cfRule>
  </conditionalFormatting>
  <conditionalFormatting sqref="F234">
    <cfRule type="containsBlanks" dxfId="81" priority="96">
      <formula>LEN(TRIM(F234))=0</formula>
    </cfRule>
  </conditionalFormatting>
  <conditionalFormatting sqref="F245">
    <cfRule type="containsBlanks" dxfId="80" priority="81">
      <formula>LEN(TRIM(F245))=0</formula>
    </cfRule>
  </conditionalFormatting>
  <conditionalFormatting sqref="F235">
    <cfRule type="containsBlanks" dxfId="79" priority="94">
      <formula>LEN(TRIM(F235))=0</formula>
    </cfRule>
  </conditionalFormatting>
  <conditionalFormatting sqref="F236">
    <cfRule type="containsBlanks" dxfId="78" priority="92">
      <formula>LEN(TRIM(F236))=0</formula>
    </cfRule>
  </conditionalFormatting>
  <conditionalFormatting sqref="F237">
    <cfRule type="containsBlanks" dxfId="77" priority="90">
      <formula>LEN(TRIM(F237))=0</formula>
    </cfRule>
  </conditionalFormatting>
  <conditionalFormatting sqref="F238">
    <cfRule type="containsBlanks" dxfId="76" priority="88">
      <formula>LEN(TRIM(F238))=0</formula>
    </cfRule>
  </conditionalFormatting>
  <conditionalFormatting sqref="I217:I236">
    <cfRule type="containsBlanks" dxfId="75" priority="86">
      <formula>LEN(TRIM(I217))=0</formula>
    </cfRule>
  </conditionalFormatting>
  <conditionalFormatting sqref="F242">
    <cfRule type="containsBlanks" dxfId="74" priority="75">
      <formula>LEN(TRIM(F242))=0</formula>
    </cfRule>
  </conditionalFormatting>
  <conditionalFormatting sqref="F225">
    <cfRule type="containsBlanks" dxfId="73" priority="84">
      <formula>LEN(TRIM(F225))=0</formula>
    </cfRule>
  </conditionalFormatting>
  <conditionalFormatting sqref="F241">
    <cfRule type="containsBlanks" dxfId="72" priority="73">
      <formula>LEN(TRIM(F241))=0</formula>
    </cfRule>
  </conditionalFormatting>
  <conditionalFormatting sqref="I240:I250">
    <cfRule type="containsBlanks" dxfId="71" priority="70">
      <formula>LEN(TRIM(I240))=0</formula>
    </cfRule>
  </conditionalFormatting>
  <conditionalFormatting sqref="F240">
    <cfRule type="containsBlanks" dxfId="70" priority="71">
      <formula>LEN(TRIM(F240))=0</formula>
    </cfRule>
  </conditionalFormatting>
  <conditionalFormatting sqref="F239">
    <cfRule type="containsBlanks" dxfId="69" priority="69">
      <formula>LEN(TRIM(F239))=0</formula>
    </cfRule>
  </conditionalFormatting>
  <conditionalFormatting sqref="I239">
    <cfRule type="containsBlanks" dxfId="68" priority="68">
      <formula>LEN(TRIM(I239))=0</formula>
    </cfRule>
  </conditionalFormatting>
  <conditionalFormatting sqref="F244">
    <cfRule type="containsBlanks" dxfId="67" priority="67">
      <formula>LEN(TRIM(F244))=0</formula>
    </cfRule>
  </conditionalFormatting>
  <conditionalFormatting sqref="F243">
    <cfRule type="containsBlanks" dxfId="66" priority="66">
      <formula>LEN(TRIM(F243))=0</formula>
    </cfRule>
  </conditionalFormatting>
  <conditionalFormatting sqref="F248">
    <cfRule type="containsBlanks" dxfId="65" priority="65">
      <formula>LEN(TRIM(F248))=0</formula>
    </cfRule>
  </conditionalFormatting>
  <conditionalFormatting sqref="F247">
    <cfRule type="containsBlanks" dxfId="64" priority="63">
      <formula>LEN(TRIM(F247))=0</formula>
    </cfRule>
  </conditionalFormatting>
  <conditionalFormatting sqref="F250">
    <cfRule type="containsBlanks" dxfId="63" priority="61">
      <formula>LEN(TRIM(F250))=0</formula>
    </cfRule>
  </conditionalFormatting>
  <conditionalFormatting sqref="F249">
    <cfRule type="containsBlanks" dxfId="62" priority="59">
      <formula>LEN(TRIM(F249))=0</formula>
    </cfRule>
  </conditionalFormatting>
  <conditionalFormatting sqref="F252:F254">
    <cfRule type="containsBlanks" dxfId="61" priority="55">
      <formula>LEN(TRIM(F252))=0</formula>
    </cfRule>
  </conditionalFormatting>
  <conditionalFormatting sqref="I252:I256">
    <cfRule type="containsBlanks" dxfId="60" priority="47">
      <formula>LEN(TRIM(I252))=0</formula>
    </cfRule>
  </conditionalFormatting>
  <conditionalFormatting sqref="F251">
    <cfRule type="containsBlanks" dxfId="59" priority="57">
      <formula>LEN(TRIM(F251))=0</formula>
    </cfRule>
  </conditionalFormatting>
  <conditionalFormatting sqref="I251">
    <cfRule type="containsBlanks" dxfId="58" priority="56">
      <formula>LEN(TRIM(I251))=0</formula>
    </cfRule>
  </conditionalFormatting>
  <conditionalFormatting sqref="F255">
    <cfRule type="containsBlanks" dxfId="57" priority="49">
      <formula>LEN(TRIM(F255))=0</formula>
    </cfRule>
  </conditionalFormatting>
  <conditionalFormatting sqref="F263">
    <cfRule type="containsBlanks" dxfId="56" priority="32">
      <formula>LEN(TRIM(F263))=0</formula>
    </cfRule>
  </conditionalFormatting>
  <conditionalFormatting sqref="F256">
    <cfRule type="containsBlanks" dxfId="55" priority="46">
      <formula>LEN(TRIM(F256))=0</formula>
    </cfRule>
  </conditionalFormatting>
  <conditionalFormatting sqref="I258:I261">
    <cfRule type="containsBlanks" dxfId="54" priority="41">
      <formula>LEN(TRIM(I258))=0</formula>
    </cfRule>
  </conditionalFormatting>
  <conditionalFormatting sqref="F257">
    <cfRule type="containsBlanks" dxfId="53" priority="44">
      <formula>LEN(TRIM(F257))=0</formula>
    </cfRule>
  </conditionalFormatting>
  <conditionalFormatting sqref="F260">
    <cfRule type="containsBlanks" dxfId="52" priority="38">
      <formula>LEN(TRIM(F260))=0</formula>
    </cfRule>
  </conditionalFormatting>
  <conditionalFormatting sqref="F261">
    <cfRule type="containsBlanks" dxfId="51" priority="36">
      <formula>LEN(TRIM(F261))=0</formula>
    </cfRule>
  </conditionalFormatting>
  <conditionalFormatting sqref="I257">
    <cfRule type="containsBlanks" dxfId="50" priority="43">
      <formula>LEN(TRIM(I257))=0</formula>
    </cfRule>
  </conditionalFormatting>
  <conditionalFormatting sqref="F258">
    <cfRule type="containsBlanks" dxfId="49" priority="42">
      <formula>LEN(TRIM(F258))=0</formula>
    </cfRule>
  </conditionalFormatting>
  <conditionalFormatting sqref="F259">
    <cfRule type="containsBlanks" dxfId="48" priority="40">
      <formula>LEN(TRIM(F259))=0</formula>
    </cfRule>
  </conditionalFormatting>
  <conditionalFormatting sqref="F262">
    <cfRule type="containsBlanks" dxfId="47" priority="34">
      <formula>LEN(TRIM(F262))=0</formula>
    </cfRule>
  </conditionalFormatting>
  <conditionalFormatting sqref="F264">
    <cfRule type="containsBlanks" dxfId="46" priority="30">
      <formula>LEN(TRIM(F264))=0</formula>
    </cfRule>
  </conditionalFormatting>
  <conditionalFormatting sqref="I262">
    <cfRule type="containsBlanks" dxfId="45" priority="26">
      <formula>LEN(TRIM(I262))=0</formula>
    </cfRule>
  </conditionalFormatting>
  <conditionalFormatting sqref="I263">
    <cfRule type="containsBlanks" dxfId="44" priority="25">
      <formula>LEN(TRIM(I263))=0</formula>
    </cfRule>
  </conditionalFormatting>
  <conditionalFormatting sqref="I264">
    <cfRule type="containsBlanks" dxfId="43" priority="20">
      <formula>LEN(TRIM(I264))=0</formula>
    </cfRule>
  </conditionalFormatting>
  <conditionalFormatting sqref="F268">
    <cfRule type="containsBlanks" dxfId="42" priority="19">
      <formula>LEN(TRIM(F268))=0</formula>
    </cfRule>
  </conditionalFormatting>
  <conditionalFormatting sqref="F269">
    <cfRule type="containsBlanks" dxfId="41" priority="17">
      <formula>LEN(TRIM(F269))=0</formula>
    </cfRule>
  </conditionalFormatting>
  <conditionalFormatting sqref="F270">
    <cfRule type="containsBlanks" dxfId="40" priority="15">
      <formula>LEN(TRIM(F270))=0</formula>
    </cfRule>
  </conditionalFormatting>
  <conditionalFormatting sqref="I265:I266">
    <cfRule type="containsBlanks" dxfId="39" priority="10">
      <formula>LEN(TRIM(I265))=0</formula>
    </cfRule>
  </conditionalFormatting>
  <conditionalFormatting sqref="F265">
    <cfRule type="containsBlanks" dxfId="38" priority="13">
      <formula>LEN(TRIM(F265))=0</formula>
    </cfRule>
  </conditionalFormatting>
  <conditionalFormatting sqref="F266">
    <cfRule type="containsBlanks" dxfId="37" priority="12">
      <formula>LEN(TRIM(F266))=0</formula>
    </cfRule>
  </conditionalFormatting>
  <conditionalFormatting sqref="F267">
    <cfRule type="containsBlanks" dxfId="36" priority="11">
      <formula>LEN(TRIM(F267))=0</formula>
    </cfRule>
  </conditionalFormatting>
  <conditionalFormatting sqref="I267:I271">
    <cfRule type="containsBlanks" dxfId="35" priority="9">
      <formula>LEN(TRIM(I267))=0</formula>
    </cfRule>
  </conditionalFormatting>
  <conditionalFormatting sqref="F271">
    <cfRule type="containsBlanks" dxfId="34" priority="8">
      <formula>LEN(TRIM(F271))=0</formula>
    </cfRule>
  </conditionalFormatting>
  <conditionalFormatting sqref="F272">
    <cfRule type="containsBlanks" dxfId="33" priority="6">
      <formula>LEN(TRIM(F272))=0</formula>
    </cfRule>
  </conditionalFormatting>
  <conditionalFormatting sqref="I272">
    <cfRule type="containsBlanks" dxfId="32" priority="5">
      <formula>LEN(TRIM(I272))=0</formula>
    </cfRule>
  </conditionalFormatting>
  <conditionalFormatting sqref="F273">
    <cfRule type="containsBlanks" dxfId="31" priority="4">
      <formula>LEN(TRIM(F273))=0</formula>
    </cfRule>
  </conditionalFormatting>
  <conditionalFormatting sqref="I273">
    <cfRule type="containsBlanks" dxfId="30" priority="3">
      <formula>LEN(TRIM(I273))=0</formula>
    </cfRule>
  </conditionalFormatting>
  <conditionalFormatting sqref="F274">
    <cfRule type="containsBlanks" dxfId="29" priority="2">
      <formula>LEN(TRIM(F274))=0</formula>
    </cfRule>
  </conditionalFormatting>
  <conditionalFormatting sqref="I274">
    <cfRule type="containsBlanks" dxfId="28" priority="1">
      <formula>LEN(TRIM(I274))=0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методология</vt:lpstr>
      <vt:lpstr>оглавление</vt:lpstr>
      <vt:lpstr>условия</vt:lpstr>
      <vt:lpstr>NPV</vt:lpstr>
      <vt:lpstr>PL_m</vt:lpstr>
      <vt:lpstr>PL_f</vt:lpstr>
      <vt:lpstr>CF</vt:lpstr>
      <vt:lpstr>BS</vt:lpstr>
      <vt:lpstr>KPI</vt:lpstr>
      <vt:lpstr>структура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2021-05-30T10:56:09Z</dcterms:modified>
</cp:coreProperties>
</file>